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59" lockStructure="1"/>
  <bookViews>
    <workbookView xWindow="240" yWindow="195" windowWidth="15600" windowHeight="7425"/>
  </bookViews>
  <sheets>
    <sheet name="semestre 1" sheetId="1" r:id="rId1"/>
    <sheet name="semestre 2" sheetId="3" r:id="rId2"/>
    <sheet name="année" sheetId="2" r:id="rId3"/>
  </sheets>
  <calcPr calcId="145621"/>
</workbook>
</file>

<file path=xl/calcChain.xml><?xml version="1.0" encoding="utf-8"?>
<calcChain xmlns="http://schemas.openxmlformats.org/spreadsheetml/2006/main">
  <c r="O24" i="3" l="1"/>
  <c r="O10" i="2" s="1"/>
  <c r="O23" i="3"/>
  <c r="O9" i="2" s="1"/>
  <c r="U14" i="1"/>
  <c r="P19" i="1"/>
  <c r="P14" i="1"/>
  <c r="P9" i="1"/>
  <c r="K9" i="1"/>
  <c r="R19" i="3"/>
  <c r="S19" i="3" s="1"/>
  <c r="K19" i="3"/>
  <c r="L19" i="3" s="1"/>
  <c r="F19" i="3"/>
  <c r="G19" i="3" s="1"/>
  <c r="N18" i="3"/>
  <c r="M18" i="3"/>
  <c r="P14" i="3"/>
  <c r="K14" i="3"/>
  <c r="L14" i="3" s="1"/>
  <c r="F14" i="3"/>
  <c r="G14" i="3" s="1"/>
  <c r="S13" i="3"/>
  <c r="R13" i="3"/>
  <c r="P9" i="3"/>
  <c r="Q9" i="3" s="1"/>
  <c r="K9" i="3"/>
  <c r="L9" i="3" s="1"/>
  <c r="F9" i="3"/>
  <c r="S8" i="3"/>
  <c r="R8" i="3"/>
  <c r="A8" i="3" l="1"/>
  <c r="B8" i="3"/>
  <c r="R9" i="3"/>
  <c r="R14" i="3"/>
  <c r="Q14" i="3"/>
  <c r="G9" i="3"/>
  <c r="M19" i="3"/>
  <c r="N19" i="3" s="1"/>
  <c r="S14" i="3" l="1"/>
  <c r="G21" i="3"/>
  <c r="G5" i="2" s="1"/>
  <c r="S9" i="3"/>
  <c r="A9" i="3"/>
  <c r="K24" i="1"/>
  <c r="F9" i="2" s="1"/>
  <c r="W19" i="1"/>
  <c r="Z9" i="1"/>
  <c r="U9" i="1"/>
  <c r="S18" i="1"/>
  <c r="R18" i="1"/>
  <c r="X13" i="1"/>
  <c r="W13" i="1"/>
  <c r="AC8" i="1"/>
  <c r="AB8" i="1"/>
  <c r="R21" i="3" l="1"/>
  <c r="R5" i="2" s="1"/>
  <c r="C37" i="3"/>
  <c r="B37" i="3" s="1"/>
  <c r="C31" i="3"/>
  <c r="B31" i="3" s="1"/>
  <c r="C36" i="3"/>
  <c r="B36" i="3" s="1"/>
  <c r="C30" i="3"/>
  <c r="B30" i="3" s="1"/>
  <c r="C34" i="3"/>
  <c r="B34" i="3" s="1"/>
  <c r="C35" i="3"/>
  <c r="B35" i="3" s="1"/>
  <c r="C38" i="3"/>
  <c r="B38" i="3" s="1"/>
  <c r="C33" i="3"/>
  <c r="B33" i="3" s="1"/>
  <c r="C32" i="3"/>
  <c r="B32" i="3" s="1"/>
  <c r="F8" i="1"/>
  <c r="B9" i="3"/>
  <c r="AA9" i="1"/>
  <c r="X19" i="1"/>
  <c r="G8" i="1"/>
  <c r="AB9" i="1"/>
  <c r="K19" i="1"/>
  <c r="V9" i="1"/>
  <c r="Q9" i="1"/>
  <c r="K14" i="1"/>
  <c r="L9" i="1"/>
  <c r="AC9" i="1" l="1"/>
  <c r="A37" i="3"/>
  <c r="A32" i="3"/>
  <c r="A35" i="3"/>
  <c r="A33" i="3"/>
  <c r="A38" i="3"/>
  <c r="A31" i="3"/>
  <c r="A34" i="3"/>
  <c r="A36" i="3"/>
  <c r="A30" i="3"/>
  <c r="W14" i="1"/>
  <c r="Q19" i="1"/>
  <c r="R19" i="1"/>
  <c r="K25" i="1"/>
  <c r="F10" i="2" s="1"/>
  <c r="Q14" i="1"/>
  <c r="V14" i="1"/>
  <c r="L14" i="1"/>
  <c r="L19" i="1"/>
  <c r="X14" i="1" l="1"/>
  <c r="U12" i="3"/>
  <c r="U16" i="3"/>
  <c r="U11" i="3"/>
  <c r="U13" i="3"/>
  <c r="U17" i="3"/>
  <c r="U14" i="3"/>
  <c r="U18" i="3"/>
  <c r="U15" i="3"/>
  <c r="U19" i="3"/>
  <c r="S19" i="1"/>
  <c r="F9" i="1"/>
  <c r="G9" i="1" l="1"/>
  <c r="W22" i="1" s="1"/>
  <c r="R4" i="2" s="1"/>
  <c r="H38" i="1"/>
  <c r="G38" i="1" s="1"/>
  <c r="H34" i="1"/>
  <c r="G34" i="1" s="1"/>
  <c r="H30" i="1"/>
  <c r="G30" i="1" s="1"/>
  <c r="H37" i="1"/>
  <c r="G37" i="1" s="1"/>
  <c r="H33" i="1"/>
  <c r="G33" i="1" s="1"/>
  <c r="H36" i="1"/>
  <c r="G36" i="1" s="1"/>
  <c r="H32" i="1"/>
  <c r="G32" i="1" s="1"/>
  <c r="H39" i="1"/>
  <c r="G39" i="1" s="1"/>
  <c r="H35" i="1"/>
  <c r="G35" i="1" s="1"/>
  <c r="H31" i="1"/>
  <c r="G31" i="1" s="1"/>
  <c r="L22" i="1"/>
  <c r="G4" i="2" s="1"/>
  <c r="G6" i="2" s="1"/>
  <c r="R6" i="2" l="1"/>
  <c r="G7" i="2" s="1"/>
  <c r="F39" i="1"/>
  <c r="F36" i="1"/>
  <c r="F35" i="1"/>
  <c r="F38" i="1"/>
  <c r="F31" i="1"/>
  <c r="F32" i="1"/>
  <c r="F33" i="1"/>
  <c r="F30" i="1"/>
  <c r="F37" i="1"/>
  <c r="F34" i="1"/>
  <c r="N35" i="1"/>
  <c r="M35" i="1" s="1"/>
  <c r="N31" i="1"/>
  <c r="M31" i="1" s="1"/>
  <c r="N38" i="1"/>
  <c r="M38" i="1" s="1"/>
  <c r="N34" i="1"/>
  <c r="M34" i="1" s="1"/>
  <c r="N30" i="1"/>
  <c r="M30" i="1" s="1"/>
  <c r="L30" i="1" s="1"/>
  <c r="N37" i="1"/>
  <c r="M37" i="1" s="1"/>
  <c r="N33" i="1"/>
  <c r="M33" i="1" s="1"/>
  <c r="N32" i="1"/>
  <c r="M32" i="1" s="1"/>
  <c r="N36" i="1"/>
  <c r="M36" i="1" s="1"/>
  <c r="Z13" i="1" l="1"/>
  <c r="Z17" i="1"/>
  <c r="Z14" i="1"/>
  <c r="Z11" i="1"/>
  <c r="Z19" i="1"/>
  <c r="Z18" i="1"/>
  <c r="Z15" i="1"/>
  <c r="Z12" i="1"/>
  <c r="Z20" i="1"/>
  <c r="Z16" i="1"/>
  <c r="L31" i="1"/>
  <c r="L34" i="1"/>
  <c r="L38" i="1"/>
  <c r="L32" i="1"/>
  <c r="L37" i="1"/>
  <c r="L36" i="1"/>
  <c r="L33" i="1"/>
  <c r="L35" i="1"/>
</calcChain>
</file>

<file path=xl/sharedStrings.xml><?xml version="1.0" encoding="utf-8"?>
<sst xmlns="http://schemas.openxmlformats.org/spreadsheetml/2006/main" count="170" uniqueCount="62">
  <si>
    <t>Date Naiss</t>
  </si>
  <si>
    <t>Matricule</t>
  </si>
  <si>
    <t>Etat</t>
  </si>
  <si>
    <t>Section</t>
  </si>
  <si>
    <t>Groupe</t>
  </si>
  <si>
    <t>Moy. Sem.</t>
  </si>
  <si>
    <t xml:space="preserve">Crédits </t>
  </si>
  <si>
    <t xml:space="preserve">  U.fondamentale</t>
  </si>
  <si>
    <t>moy fonda</t>
  </si>
  <si>
    <t>credit fonda</t>
  </si>
  <si>
    <t>U.Découverte</t>
  </si>
  <si>
    <t>U.Méthodologie</t>
  </si>
  <si>
    <t>Introduction à l économie</t>
  </si>
  <si>
    <t xml:space="preserve"> Histoire des faits économiques </t>
  </si>
  <si>
    <t xml:space="preserve"> Methodologie</t>
  </si>
  <si>
    <t xml:space="preserve">introduction au droit </t>
  </si>
  <si>
    <t>Intoduction à la sociologie</t>
  </si>
  <si>
    <t>Exam</t>
  </si>
  <si>
    <t>TD</t>
  </si>
  <si>
    <t>ratt</t>
  </si>
  <si>
    <t>moy</t>
  </si>
  <si>
    <t>credit</t>
  </si>
  <si>
    <t>MODELE DE CALCUL 1ER ANNEE TRONC COMMUN NOUVEAU  S1</t>
  </si>
  <si>
    <t>moy methodologie</t>
  </si>
  <si>
    <t>credit methodologie</t>
  </si>
  <si>
    <t>moy decouverte</t>
  </si>
  <si>
    <t>credit decouverte</t>
  </si>
  <si>
    <t>SEMESTRE 1</t>
  </si>
  <si>
    <t>SEMESTRE 2</t>
  </si>
  <si>
    <t>Introduction au management</t>
  </si>
  <si>
    <t>Micro- économie 1</t>
  </si>
  <si>
    <t>Statistiques 1</t>
  </si>
  <si>
    <t xml:space="preserve"> Mathematiques 1</t>
  </si>
  <si>
    <t>Anglais 1</t>
  </si>
  <si>
    <t>sociologie des organisations</t>
  </si>
  <si>
    <t>Anglais 2</t>
  </si>
  <si>
    <t>Statistiques 2</t>
  </si>
  <si>
    <t xml:space="preserve"> Mathematiques 2</t>
  </si>
  <si>
    <t>informatique 1</t>
  </si>
  <si>
    <t>Comptabilité générale 1</t>
  </si>
  <si>
    <t>Comptabilité générale 2</t>
  </si>
  <si>
    <t>MOYEN SEMESTRE 1 :</t>
  </si>
  <si>
    <t>CREDIT SEMESTRE 1 :</t>
  </si>
  <si>
    <t>MOYEN GENEARLE 1ER ANNEE :</t>
  </si>
  <si>
    <t>CREDIT GENERAL 1ER ANNEE :</t>
  </si>
  <si>
    <t>RESULTAT 1ER ANNEE :</t>
  </si>
  <si>
    <t>MOYEN SEMESTRE 2 :</t>
  </si>
  <si>
    <t>CREDIT SEMESTRE 2 :</t>
  </si>
  <si>
    <t>rattrapage semestre 1:</t>
  </si>
  <si>
    <t>compensation semestre 1:</t>
  </si>
  <si>
    <t>rattrapage semestre 2:</t>
  </si>
  <si>
    <t>compensation semestre 2:</t>
  </si>
  <si>
    <t>s1</t>
  </si>
  <si>
    <t>Rattrapage S1</t>
  </si>
  <si>
    <t>Rattrapage S2</t>
  </si>
  <si>
    <t>U.transversale</t>
  </si>
  <si>
    <t>Micro- économie 2</t>
  </si>
  <si>
    <t>droit commercial</t>
  </si>
  <si>
    <t>Veuillez saisissez vos notes dans les cases vides</t>
  </si>
  <si>
    <t>s2</t>
  </si>
  <si>
    <t>presence semestre 1</t>
  </si>
  <si>
    <t>من اعداد الاستاذ بوصالح سفيان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</si>
</sst>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.9499999999999993"/>
      <color indexed="8"/>
      <name val="Simplified Arabic"/>
      <family val="1"/>
    </font>
    <font>
      <b/>
      <sz val="11"/>
      <color indexed="8"/>
      <name val="Simplified Arabic"/>
      <family val="1"/>
    </font>
    <font>
      <b/>
      <sz val="10"/>
      <color indexed="8"/>
      <name val="Simplified Arabic"/>
      <family val="1"/>
    </font>
    <font>
      <b/>
      <u/>
      <sz val="8.9499999999999993"/>
      <color indexed="8"/>
      <name val="Simplified Arabic"/>
      <family val="1"/>
    </font>
    <font>
      <sz val="8.9499999999999993"/>
      <color indexed="8"/>
      <name val="Simplified Arabic"/>
      <family val="1"/>
    </font>
    <font>
      <b/>
      <sz val="12"/>
      <color theme="1"/>
      <name val="Agency FB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gency FB"/>
      <family val="2"/>
    </font>
    <font>
      <b/>
      <sz val="16"/>
      <color theme="1"/>
      <name val="Calibri"/>
      <family val="2"/>
      <scheme val="minor"/>
    </font>
    <font>
      <b/>
      <sz val="14"/>
      <color indexed="8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2" fillId="0" borderId="33" xfId="0" applyFont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 textRotation="90"/>
    </xf>
    <xf numFmtId="0" fontId="5" fillId="6" borderId="27" xfId="0" applyFont="1" applyFill="1" applyBorder="1" applyAlignment="1" applyProtection="1">
      <alignment horizontal="center" vertical="center"/>
    </xf>
    <xf numFmtId="2" fontId="2" fillId="6" borderId="25" xfId="0" applyNumberFormat="1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 textRotation="90"/>
    </xf>
    <xf numFmtId="0" fontId="2" fillId="6" borderId="26" xfId="0" applyFont="1" applyFill="1" applyBorder="1" applyAlignment="1" applyProtection="1">
      <alignment horizontal="center" vertical="center" textRotation="90"/>
    </xf>
    <xf numFmtId="0" fontId="6" fillId="6" borderId="41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</xf>
    <xf numFmtId="0" fontId="2" fillId="6" borderId="38" xfId="0" applyFont="1" applyFill="1" applyBorder="1" applyAlignment="1" applyProtection="1">
      <alignment horizontal="center" vertical="center"/>
    </xf>
    <xf numFmtId="0" fontId="3" fillId="6" borderId="43" xfId="0" applyFont="1" applyFill="1" applyBorder="1" applyAlignment="1" applyProtection="1">
      <alignment horizontal="center" vertical="center"/>
    </xf>
    <xf numFmtId="0" fontId="4" fillId="6" borderId="4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 textRotation="90"/>
    </xf>
    <xf numFmtId="0" fontId="5" fillId="2" borderId="27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textRotation="90"/>
    </xf>
    <xf numFmtId="0" fontId="6" fillId="2" borderId="3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textRotation="90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5" fillId="8" borderId="22" xfId="0" applyFont="1" applyFill="1" applyBorder="1" applyAlignment="1" applyProtection="1">
      <alignment horizontal="center" vertical="center"/>
    </xf>
    <xf numFmtId="0" fontId="2" fillId="8" borderId="23" xfId="0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center" vertical="center"/>
    </xf>
    <xf numFmtId="0" fontId="2" fillId="8" borderId="26" xfId="0" applyFont="1" applyFill="1" applyBorder="1" applyAlignment="1" applyProtection="1">
      <alignment horizontal="center" vertical="center" textRotation="90"/>
    </xf>
    <xf numFmtId="0" fontId="5" fillId="8" borderId="27" xfId="0" applyFont="1" applyFill="1" applyBorder="1" applyAlignment="1" applyProtection="1">
      <alignment horizontal="center" vertical="center"/>
    </xf>
    <xf numFmtId="0" fontId="2" fillId="8" borderId="28" xfId="0" applyFont="1" applyFill="1" applyBorder="1" applyAlignment="1" applyProtection="1">
      <alignment horizontal="center" vertical="center" textRotation="90"/>
    </xf>
    <xf numFmtId="0" fontId="6" fillId="8" borderId="34" xfId="0" applyFont="1" applyFill="1" applyBorder="1" applyAlignment="1" applyProtection="1">
      <alignment horizontal="center" vertical="center"/>
    </xf>
    <xf numFmtId="0" fontId="6" fillId="8" borderId="35" xfId="0" applyFont="1" applyFill="1" applyBorder="1" applyAlignment="1" applyProtection="1">
      <alignment horizontal="center" vertical="center"/>
    </xf>
    <xf numFmtId="0" fontId="2" fillId="8" borderId="37" xfId="0" applyFont="1" applyFill="1" applyBorder="1" applyAlignment="1" applyProtection="1">
      <alignment horizontal="center" vertical="center"/>
    </xf>
    <xf numFmtId="0" fontId="2" fillId="8" borderId="38" xfId="0" applyFont="1" applyFill="1" applyBorder="1" applyAlignment="1" applyProtection="1">
      <alignment horizontal="center" vertical="center"/>
    </xf>
    <xf numFmtId="0" fontId="6" fillId="8" borderId="39" xfId="0" applyFont="1" applyFill="1" applyBorder="1" applyAlignment="1" applyProtection="1">
      <alignment horizontal="center" vertical="center"/>
    </xf>
    <xf numFmtId="0" fontId="2" fillId="8" borderId="40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 textRotation="90"/>
    </xf>
    <xf numFmtId="0" fontId="2" fillId="3" borderId="46" xfId="0" applyFont="1" applyFill="1" applyBorder="1" applyAlignment="1" applyProtection="1">
      <alignment horizontal="center" vertical="center"/>
    </xf>
    <xf numFmtId="0" fontId="3" fillId="8" borderId="66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0" fillId="0" borderId="69" xfId="0" applyBorder="1"/>
    <xf numFmtId="0" fontId="2" fillId="0" borderId="47" xfId="0" applyFont="1" applyBorder="1" applyAlignment="1" applyProtection="1">
      <alignment horizontal="center" vertical="center"/>
    </xf>
    <xf numFmtId="0" fontId="4" fillId="6" borderId="57" xfId="0" applyFont="1" applyFill="1" applyBorder="1" applyAlignment="1" applyProtection="1">
      <alignment horizontal="center" vertical="center"/>
    </xf>
    <xf numFmtId="0" fontId="0" fillId="5" borderId="0" xfId="0" applyFill="1" applyBorder="1"/>
    <xf numFmtId="0" fontId="13" fillId="5" borderId="78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0" fillId="0" borderId="86" xfId="0" applyBorder="1"/>
    <xf numFmtId="0" fontId="0" fillId="0" borderId="87" xfId="0" applyBorder="1"/>
    <xf numFmtId="0" fontId="13" fillId="5" borderId="88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71" xfId="0" applyBorder="1" applyAlignment="1">
      <alignment horizontal="left"/>
    </xf>
    <xf numFmtId="0" fontId="12" fillId="5" borderId="47" xfId="0" applyFont="1" applyFill="1" applyBorder="1" applyAlignment="1" applyProtection="1">
      <alignment horizontal="center" vertical="center"/>
      <protection locked="0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hidden="1"/>
    </xf>
    <xf numFmtId="0" fontId="12" fillId="8" borderId="33" xfId="0" applyFont="1" applyFill="1" applyBorder="1" applyAlignment="1" applyProtection="1">
      <alignment horizontal="center" vertical="center"/>
      <protection hidden="1"/>
    </xf>
    <xf numFmtId="0" fontId="12" fillId="8" borderId="63" xfId="0" applyFont="1" applyFill="1" applyBorder="1" applyAlignment="1" applyProtection="1">
      <alignment horizontal="center" vertical="center"/>
      <protection hidden="1"/>
    </xf>
    <xf numFmtId="0" fontId="12" fillId="8" borderId="64" xfId="0" applyFont="1" applyFill="1" applyBorder="1" applyAlignment="1" applyProtection="1">
      <alignment horizontal="center" vertical="center"/>
      <protection hidden="1"/>
    </xf>
    <xf numFmtId="0" fontId="14" fillId="5" borderId="47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8" borderId="32" xfId="0" applyFont="1" applyFill="1" applyBorder="1" applyAlignment="1" applyProtection="1">
      <alignment horizontal="center" vertical="center"/>
      <protection hidden="1"/>
    </xf>
    <xf numFmtId="0" fontId="14" fillId="8" borderId="33" xfId="0" applyFont="1" applyFill="1" applyBorder="1" applyAlignment="1" applyProtection="1">
      <alignment horizontal="center" vertical="center"/>
      <protection hidden="1"/>
    </xf>
    <xf numFmtId="0" fontId="14" fillId="8" borderId="63" xfId="0" applyFont="1" applyFill="1" applyBorder="1" applyAlignment="1" applyProtection="1">
      <alignment horizontal="center" vertical="center"/>
      <protection hidden="1"/>
    </xf>
    <xf numFmtId="0" fontId="14" fillId="8" borderId="64" xfId="0" applyFont="1" applyFill="1" applyBorder="1" applyAlignment="1" applyProtection="1">
      <alignment horizontal="center" vertical="center"/>
      <protection hidden="1"/>
    </xf>
    <xf numFmtId="0" fontId="14" fillId="8" borderId="8" xfId="0" applyFont="1" applyFill="1" applyBorder="1" applyAlignment="1" applyProtection="1">
      <alignment horizontal="center" vertical="center"/>
      <protection hidden="1"/>
    </xf>
    <xf numFmtId="0" fontId="14" fillId="8" borderId="79" xfId="0" applyFont="1" applyFill="1" applyBorder="1" applyAlignment="1" applyProtection="1">
      <alignment horizontal="center" vertical="center"/>
      <protection hidden="1"/>
    </xf>
    <xf numFmtId="0" fontId="14" fillId="8" borderId="66" xfId="0" applyFont="1" applyFill="1" applyBorder="1" applyAlignment="1" applyProtection="1">
      <alignment horizontal="center" vertical="center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5" borderId="62" xfId="0" applyFont="1" applyFill="1" applyBorder="1" applyAlignment="1" applyProtection="1">
      <alignment horizontal="center" vertical="center"/>
      <protection locked="0"/>
    </xf>
    <xf numFmtId="0" fontId="14" fillId="5" borderId="63" xfId="0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 vertical="center"/>
      <protection hidden="1"/>
    </xf>
    <xf numFmtId="0" fontId="12" fillId="6" borderId="33" xfId="0" applyFont="1" applyFill="1" applyBorder="1" applyAlignment="1" applyProtection="1">
      <alignment horizontal="center" vertical="center"/>
      <protection hidden="1"/>
    </xf>
    <xf numFmtId="0" fontId="12" fillId="6" borderId="63" xfId="0" applyFont="1" applyFill="1" applyBorder="1" applyAlignment="1" applyProtection="1">
      <alignment horizontal="center" vertical="center"/>
      <protection hidden="1"/>
    </xf>
    <xf numFmtId="0" fontId="12" fillId="6" borderId="64" xfId="0" applyFont="1" applyFill="1" applyBorder="1" applyAlignment="1" applyProtection="1">
      <alignment horizontal="center" vertical="center"/>
      <protection hidden="1"/>
    </xf>
    <xf numFmtId="0" fontId="12" fillId="6" borderId="47" xfId="0" applyFont="1" applyFill="1" applyBorder="1" applyAlignment="1" applyProtection="1">
      <alignment horizontal="center" vertical="center"/>
      <protection hidden="1"/>
    </xf>
    <xf numFmtId="0" fontId="14" fillId="6" borderId="32" xfId="0" applyFont="1" applyFill="1" applyBorder="1" applyAlignment="1" applyProtection="1">
      <alignment horizontal="center" vertical="center"/>
      <protection hidden="1"/>
    </xf>
    <xf numFmtId="0" fontId="14" fillId="6" borderId="33" xfId="0" applyFont="1" applyFill="1" applyBorder="1" applyAlignment="1" applyProtection="1">
      <alignment horizontal="center" vertical="center"/>
      <protection hidden="1"/>
    </xf>
    <xf numFmtId="0" fontId="14" fillId="6" borderId="63" xfId="0" applyFont="1" applyFill="1" applyBorder="1" applyAlignment="1" applyProtection="1">
      <alignment horizontal="center" vertical="center"/>
      <protection hidden="1"/>
    </xf>
    <xf numFmtId="0" fontId="14" fillId="6" borderId="64" xfId="0" applyFont="1" applyFill="1" applyBorder="1" applyAlignment="1" applyProtection="1">
      <alignment horizontal="center" vertical="center"/>
      <protection hidden="1"/>
    </xf>
    <xf numFmtId="0" fontId="14" fillId="6" borderId="47" xfId="0" applyFont="1" applyFill="1" applyBorder="1" applyAlignment="1" applyProtection="1">
      <alignment horizontal="center" vertical="center"/>
      <protection hidden="1"/>
    </xf>
    <xf numFmtId="0" fontId="12" fillId="3" borderId="60" xfId="0" applyFont="1" applyFill="1" applyBorder="1" applyAlignment="1" applyProtection="1">
      <alignment horizontal="center" vertical="center"/>
      <protection hidden="1"/>
    </xf>
    <xf numFmtId="0" fontId="12" fillId="3" borderId="75" xfId="0" applyFont="1" applyFill="1" applyBorder="1" applyAlignment="1" applyProtection="1">
      <alignment horizontal="center" vertical="center"/>
      <protection hidden="1"/>
    </xf>
    <xf numFmtId="0" fontId="12" fillId="3" borderId="76" xfId="0" applyFont="1" applyFill="1" applyBorder="1" applyAlignment="1" applyProtection="1">
      <alignment horizontal="center" vertical="center"/>
      <protection hidden="1"/>
    </xf>
    <xf numFmtId="0" fontId="12" fillId="3" borderId="77" xfId="0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77" xfId="0" applyFont="1" applyFill="1" applyBorder="1" applyAlignment="1" applyProtection="1">
      <alignment horizontal="center" vertical="center"/>
      <protection hidden="1"/>
    </xf>
    <xf numFmtId="0" fontId="12" fillId="5" borderId="60" xfId="0" applyFont="1" applyFill="1" applyBorder="1" applyAlignment="1" applyProtection="1">
      <alignment horizontal="center" vertical="center"/>
      <protection locked="0"/>
    </xf>
    <xf numFmtId="0" fontId="12" fillId="5" borderId="74" xfId="0" applyFont="1" applyFill="1" applyBorder="1" applyAlignment="1" applyProtection="1">
      <alignment horizontal="center" vertical="center"/>
      <protection locked="0"/>
    </xf>
    <xf numFmtId="0" fontId="12" fillId="8" borderId="67" xfId="0" applyFont="1" applyFill="1" applyBorder="1" applyAlignment="1" applyProtection="1">
      <alignment horizontal="center" vertical="center"/>
      <protection hidden="1"/>
    </xf>
    <xf numFmtId="0" fontId="12" fillId="8" borderId="71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6" borderId="30" xfId="0" applyFont="1" applyFill="1" applyBorder="1" applyAlignment="1" applyProtection="1">
      <alignment horizontal="center" vertical="center"/>
      <protection hidden="1"/>
    </xf>
    <xf numFmtId="0" fontId="12" fillId="5" borderId="62" xfId="0" applyFont="1" applyFill="1" applyBorder="1" applyAlignment="1" applyProtection="1">
      <alignment horizontal="center" vertical="center"/>
      <protection locked="0"/>
    </xf>
    <xf numFmtId="0" fontId="12" fillId="5" borderId="63" xfId="0" applyFont="1" applyFill="1" applyBorder="1" applyAlignment="1" applyProtection="1">
      <alignment horizontal="center" vertical="center"/>
      <protection locked="0"/>
    </xf>
    <xf numFmtId="0" fontId="12" fillId="5" borderId="48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0" borderId="0" xfId="0" applyProtection="1"/>
    <xf numFmtId="0" fontId="0" fillId="12" borderId="0" xfId="0" applyFill="1" applyProtection="1"/>
    <xf numFmtId="0" fontId="0" fillId="5" borderId="96" xfId="0" applyFill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11" borderId="78" xfId="0" applyFill="1" applyBorder="1" applyAlignment="1">
      <alignment horizontal="center"/>
    </xf>
    <xf numFmtId="0" fontId="13" fillId="5" borderId="26" xfId="0" applyFont="1" applyFill="1" applyBorder="1" applyAlignment="1" applyProtection="1">
      <alignment horizontal="center" vertical="center" wrapText="1"/>
    </xf>
    <xf numFmtId="0" fontId="13" fillId="5" borderId="80" xfId="0" applyFont="1" applyFill="1" applyBorder="1" applyAlignment="1" applyProtection="1">
      <alignment horizontal="center" vertical="center" wrapText="1"/>
    </xf>
    <xf numFmtId="0" fontId="13" fillId="5" borderId="81" xfId="0" applyFont="1" applyFill="1" applyBorder="1" applyAlignment="1" applyProtection="1">
      <alignment horizontal="center" vertical="center" wrapText="1"/>
    </xf>
    <xf numFmtId="0" fontId="12" fillId="10" borderId="78" xfId="0" applyFont="1" applyFill="1" applyBorder="1" applyAlignment="1">
      <alignment horizontal="center" vertical="center"/>
    </xf>
    <xf numFmtId="0" fontId="0" fillId="5" borderId="78" xfId="0" applyFill="1" applyBorder="1" applyAlignment="1">
      <alignment horizontal="center"/>
    </xf>
    <xf numFmtId="164" fontId="8" fillId="10" borderId="78" xfId="0" applyNumberFormat="1" applyFont="1" applyFill="1" applyBorder="1" applyAlignment="1">
      <alignment horizontal="center" vertical="center"/>
    </xf>
    <xf numFmtId="0" fontId="10" fillId="10" borderId="78" xfId="0" applyFont="1" applyFill="1" applyBorder="1" applyAlignment="1">
      <alignment horizontal="center" vertical="center"/>
    </xf>
    <xf numFmtId="0" fontId="8" fillId="5" borderId="78" xfId="0" applyFont="1" applyFill="1" applyBorder="1" applyAlignment="1" applyProtection="1">
      <alignment horizontal="center"/>
    </xf>
    <xf numFmtId="0" fontId="8" fillId="5" borderId="29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8" xfId="0" applyFont="1" applyFill="1" applyBorder="1" applyAlignment="1" applyProtection="1">
      <alignment horizontal="center"/>
    </xf>
    <xf numFmtId="0" fontId="8" fillId="3" borderId="65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36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textRotation="90"/>
    </xf>
    <xf numFmtId="0" fontId="4" fillId="8" borderId="9" xfId="0" applyFont="1" applyFill="1" applyBorder="1" applyAlignment="1" applyProtection="1">
      <alignment horizontal="center" vertical="center" textRotation="90"/>
    </xf>
    <xf numFmtId="0" fontId="4" fillId="8" borderId="30" xfId="0" applyFont="1" applyFill="1" applyBorder="1" applyAlignment="1" applyProtection="1">
      <alignment horizontal="center" vertical="center" textRotation="90"/>
    </xf>
    <xf numFmtId="0" fontId="11" fillId="6" borderId="15" xfId="0" applyFont="1" applyFill="1" applyBorder="1" applyAlignment="1" applyProtection="1">
      <alignment horizontal="center" vertical="top" textRotation="90"/>
    </xf>
    <xf numFmtId="0" fontId="11" fillId="6" borderId="56" xfId="0" applyFont="1" applyFill="1" applyBorder="1" applyAlignment="1" applyProtection="1">
      <alignment horizontal="center" vertical="center" textRotation="90"/>
    </xf>
    <xf numFmtId="0" fontId="11" fillId="6" borderId="33" xfId="0" applyFont="1" applyFill="1" applyBorder="1" applyAlignment="1" applyProtection="1">
      <alignment horizontal="center" vertical="center" textRotation="90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2" fontId="8" fillId="4" borderId="70" xfId="0" applyNumberFormat="1" applyFont="1" applyFill="1" applyBorder="1" applyAlignment="1" applyProtection="1">
      <alignment horizontal="center" vertical="center"/>
      <protection hidden="1"/>
    </xf>
    <xf numFmtId="2" fontId="8" fillId="4" borderId="72" xfId="0" applyNumberFormat="1" applyFont="1" applyFill="1" applyBorder="1" applyAlignment="1" applyProtection="1">
      <alignment horizontal="center" vertical="center"/>
      <protection hidden="1"/>
    </xf>
    <xf numFmtId="2" fontId="8" fillId="4" borderId="73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Font="1" applyFill="1" applyBorder="1" applyAlignment="1" applyProtection="1">
      <alignment horizontal="center" vertical="center"/>
      <protection hidden="1"/>
    </xf>
    <xf numFmtId="0" fontId="10" fillId="4" borderId="5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68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top" textRotation="90"/>
    </xf>
    <xf numFmtId="0" fontId="11" fillId="3" borderId="21" xfId="0" applyFont="1" applyFill="1" applyBorder="1" applyAlignment="1" applyProtection="1">
      <alignment horizontal="center" vertical="top" textRotation="90"/>
    </xf>
    <xf numFmtId="0" fontId="11" fillId="3" borderId="7" xfId="0" applyFont="1" applyFill="1" applyBorder="1" applyAlignment="1" applyProtection="1">
      <alignment horizontal="center" vertical="center" textRotation="90"/>
    </xf>
    <xf numFmtId="0" fontId="11" fillId="3" borderId="56" xfId="0" applyFont="1" applyFill="1" applyBorder="1" applyAlignment="1" applyProtection="1">
      <alignment horizontal="center" vertical="center" textRotation="90"/>
    </xf>
    <xf numFmtId="0" fontId="11" fillId="3" borderId="33" xfId="0" applyFont="1" applyFill="1" applyBorder="1" applyAlignment="1" applyProtection="1">
      <alignment horizontal="center" vertical="center" textRotation="90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5" fillId="2" borderId="51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8" fillId="6" borderId="58" xfId="0" applyFont="1" applyFill="1" applyBorder="1" applyAlignment="1" applyProtection="1">
      <alignment horizontal="center"/>
    </xf>
    <xf numFmtId="0" fontId="8" fillId="6" borderId="65" xfId="0" applyFont="1" applyFill="1" applyBorder="1" applyAlignment="1" applyProtection="1">
      <alignment horizontal="center"/>
    </xf>
    <xf numFmtId="0" fontId="9" fillId="6" borderId="19" xfId="0" applyFont="1" applyFill="1" applyBorder="1" applyAlignment="1" applyProtection="1">
      <alignment horizontal="center" vertical="center" wrapText="1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13" xfId="0" applyFont="1" applyFill="1" applyBorder="1" applyAlignment="1" applyProtection="1">
      <alignment horizontal="center" vertical="center" wrapText="1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5" fillId="6" borderId="90" xfId="0" applyFont="1" applyFill="1" applyBorder="1" applyAlignment="1" applyProtection="1">
      <alignment horizontal="center" vertical="center"/>
    </xf>
    <xf numFmtId="0" fontId="5" fillId="6" borderId="91" xfId="0" applyFont="1" applyFill="1" applyBorder="1" applyAlignment="1" applyProtection="1">
      <alignment horizontal="center" vertical="center"/>
    </xf>
    <xf numFmtId="0" fontId="6" fillId="6" borderId="92" xfId="0" applyFont="1" applyFill="1" applyBorder="1" applyAlignment="1" applyProtection="1">
      <alignment horizontal="center" vertical="center"/>
    </xf>
    <xf numFmtId="0" fontId="6" fillId="6" borderId="93" xfId="0" applyFont="1" applyFill="1" applyBorder="1" applyAlignment="1" applyProtection="1">
      <alignment horizontal="center" vertical="center"/>
    </xf>
    <xf numFmtId="0" fontId="14" fillId="5" borderId="94" xfId="0" applyFont="1" applyFill="1" applyBorder="1" applyAlignment="1" applyProtection="1">
      <alignment horizontal="center" vertical="center"/>
      <protection locked="0"/>
    </xf>
    <xf numFmtId="0" fontId="14" fillId="5" borderId="9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3" fillId="8" borderId="6" xfId="0" applyFont="1" applyFill="1" applyBorder="1" applyAlignment="1" applyProtection="1">
      <alignment horizontal="center" vertical="center" textRotation="90"/>
    </xf>
    <xf numFmtId="0" fontId="3" fillId="8" borderId="21" xfId="0" applyFont="1" applyFill="1" applyBorder="1" applyAlignment="1" applyProtection="1">
      <alignment horizontal="center" vertical="center" textRotation="90"/>
    </xf>
    <xf numFmtId="0" fontId="5" fillId="8" borderId="51" xfId="0" applyFont="1" applyFill="1" applyBorder="1" applyAlignment="1" applyProtection="1">
      <alignment horizontal="center" vertical="center" wrapText="1"/>
    </xf>
    <xf numFmtId="0" fontId="5" fillId="8" borderId="37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/>
    </xf>
    <xf numFmtId="0" fontId="10" fillId="8" borderId="53" xfId="0" applyFont="1" applyFill="1" applyBorder="1" applyAlignment="1" applyProtection="1">
      <alignment horizontal="center"/>
    </xf>
    <xf numFmtId="0" fontId="10" fillId="8" borderId="55" xfId="0" applyFont="1" applyFill="1" applyBorder="1" applyAlignment="1" applyProtection="1">
      <alignment horizontal="center"/>
    </xf>
    <xf numFmtId="0" fontId="11" fillId="0" borderId="59" xfId="0" applyFont="1" applyBorder="1" applyAlignment="1" applyProtection="1">
      <alignment horizontal="center" vertical="center" textRotation="90" wrapText="1"/>
    </xf>
    <xf numFmtId="0" fontId="11" fillId="0" borderId="15" xfId="0" applyFont="1" applyBorder="1" applyAlignment="1" applyProtection="1">
      <alignment horizontal="center" vertical="center" textRotation="90" wrapText="1"/>
    </xf>
    <xf numFmtId="0" fontId="11" fillId="0" borderId="2" xfId="0" applyFont="1" applyBorder="1" applyAlignment="1" applyProtection="1">
      <alignment horizontal="center" vertical="center" textRotation="90" wrapText="1"/>
    </xf>
    <xf numFmtId="0" fontId="11" fillId="0" borderId="9" xfId="0" applyFont="1" applyBorder="1" applyAlignment="1" applyProtection="1">
      <alignment horizontal="center" vertical="center" textRotation="90" wrapText="1"/>
    </xf>
    <xf numFmtId="0" fontId="5" fillId="6" borderId="52" xfId="0" applyFont="1" applyFill="1" applyBorder="1" applyAlignment="1" applyProtection="1">
      <alignment horizontal="center" vertical="center" wrapText="1"/>
    </xf>
    <xf numFmtId="0" fontId="5" fillId="6" borderId="37" xfId="0" applyFont="1" applyFill="1" applyBorder="1" applyAlignment="1" applyProtection="1">
      <alignment horizontal="center" vertical="center" wrapText="1"/>
    </xf>
    <xf numFmtId="0" fontId="5" fillId="3" borderId="90" xfId="0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horizontal="center" vertical="center"/>
    </xf>
    <xf numFmtId="0" fontId="6" fillId="3" borderId="92" xfId="0" applyFont="1" applyFill="1" applyBorder="1" applyAlignment="1" applyProtection="1">
      <alignment horizontal="center" vertical="center"/>
    </xf>
    <xf numFmtId="0" fontId="6" fillId="3" borderId="93" xfId="0" applyFont="1" applyFill="1" applyBorder="1" applyAlignment="1" applyProtection="1">
      <alignment horizontal="center" vertical="center"/>
    </xf>
    <xf numFmtId="0" fontId="12" fillId="5" borderId="94" xfId="0" applyFont="1" applyFill="1" applyBorder="1" applyAlignment="1" applyProtection="1">
      <alignment horizontal="center" vertical="center"/>
      <protection locked="0"/>
    </xf>
    <xf numFmtId="0" fontId="12" fillId="5" borderId="95" xfId="0" applyFont="1" applyFill="1" applyBorder="1" applyAlignment="1" applyProtection="1">
      <alignment horizontal="center" vertical="center"/>
      <protection locked="0"/>
    </xf>
    <xf numFmtId="0" fontId="10" fillId="8" borderId="3" xfId="0" applyFont="1" applyFill="1" applyBorder="1" applyAlignment="1" applyProtection="1">
      <alignment horizontal="center"/>
    </xf>
    <xf numFmtId="0" fontId="10" fillId="8" borderId="4" xfId="0" applyFont="1" applyFill="1" applyBorder="1" applyAlignment="1" applyProtection="1">
      <alignment horizontal="center"/>
    </xf>
    <xf numFmtId="0" fontId="10" fillId="8" borderId="5" xfId="0" applyFont="1" applyFill="1" applyBorder="1" applyAlignment="1" applyProtection="1">
      <alignment horizontal="center"/>
    </xf>
    <xf numFmtId="0" fontId="11" fillId="6" borderId="9" xfId="0" applyFont="1" applyFill="1" applyBorder="1" applyAlignment="1" applyProtection="1">
      <alignment horizontal="center" vertical="center" textRotation="90"/>
    </xf>
    <xf numFmtId="0" fontId="11" fillId="6" borderId="30" xfId="0" applyFont="1" applyFill="1" applyBorder="1" applyAlignment="1" applyProtection="1">
      <alignment horizontal="center" vertical="center" textRotation="90"/>
    </xf>
    <xf numFmtId="0" fontId="13" fillId="5" borderId="8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0" fillId="9" borderId="78" xfId="0" applyFill="1" applyBorder="1" applyAlignment="1">
      <alignment horizontal="center" vertical="center"/>
    </xf>
    <xf numFmtId="164" fontId="10" fillId="9" borderId="78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0" fillId="9" borderId="78" xfId="0" applyFont="1" applyFill="1" applyBorder="1" applyAlignment="1">
      <alignment horizontal="center" vertical="center"/>
    </xf>
    <xf numFmtId="2" fontId="10" fillId="4" borderId="70" xfId="0" applyNumberFormat="1" applyFont="1" applyFill="1" applyBorder="1" applyAlignment="1" applyProtection="1">
      <alignment horizontal="center" vertical="center"/>
      <protection hidden="1"/>
    </xf>
    <xf numFmtId="2" fontId="10" fillId="4" borderId="72" xfId="0" applyNumberFormat="1" applyFont="1" applyFill="1" applyBorder="1" applyAlignment="1" applyProtection="1">
      <alignment horizontal="center" vertical="center"/>
      <protection hidden="1"/>
    </xf>
    <xf numFmtId="2" fontId="10" fillId="4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10" borderId="78" xfId="0" applyFont="1" applyFill="1" applyBorder="1" applyAlignment="1" applyProtection="1">
      <alignment horizontal="center" vertical="center"/>
    </xf>
    <xf numFmtId="164" fontId="12" fillId="10" borderId="78" xfId="0" applyNumberFormat="1" applyFont="1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164" fontId="0" fillId="9" borderId="78" xfId="0" applyNumberFormat="1" applyFill="1" applyBorder="1" applyAlignment="1" applyProtection="1">
      <alignment horizontal="center" vertical="center"/>
    </xf>
    <xf numFmtId="0" fontId="0" fillId="7" borderId="78" xfId="0" applyFill="1" applyBorder="1" applyAlignment="1" applyProtection="1">
      <alignment horizontal="center" vertical="center"/>
    </xf>
    <xf numFmtId="164" fontId="10" fillId="7" borderId="78" xfId="0" applyNumberFormat="1" applyFont="1" applyFill="1" applyBorder="1" applyAlignment="1" applyProtection="1">
      <alignment horizontal="center" vertical="center"/>
    </xf>
    <xf numFmtId="0" fontId="10" fillId="7" borderId="78" xfId="0" applyFont="1" applyFill="1" applyBorder="1" applyAlignment="1" applyProtection="1">
      <alignment horizontal="center" vertical="center"/>
    </xf>
    <xf numFmtId="0" fontId="15" fillId="7" borderId="78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11" borderId="78" xfId="0" applyFill="1" applyBorder="1" applyAlignment="1" applyProtection="1">
      <alignment horizontal="center"/>
    </xf>
    <xf numFmtId="0" fontId="0" fillId="12" borderId="96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view="pageBreakPreview" topLeftCell="F16" zoomScale="90" zoomScaleSheetLayoutView="90" workbookViewId="0">
      <selection activeCell="R14" sqref="R14:S14"/>
    </sheetView>
  </sheetViews>
  <sheetFormatPr baseColWidth="10" defaultRowHeight="15" x14ac:dyDescent="0.25"/>
  <cols>
    <col min="1" max="5" width="0" hidden="1" customWidth="1"/>
    <col min="6" max="6" width="8.5703125" customWidth="1"/>
    <col min="7" max="7" width="7.140625" customWidth="1"/>
    <col min="8" max="29" width="5.7109375" customWidth="1"/>
  </cols>
  <sheetData>
    <row r="1" spans="1:29" ht="15" customHeight="1" x14ac:dyDescent="0.4">
      <c r="A1" s="2"/>
      <c r="B1" s="2"/>
      <c r="C1" s="2"/>
      <c r="D1" s="2"/>
      <c r="E1" s="2"/>
      <c r="F1" s="190" t="s">
        <v>58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2" t="s">
        <v>22</v>
      </c>
      <c r="W1" s="192"/>
      <c r="X1" s="192"/>
      <c r="Y1" s="192"/>
      <c r="Z1" s="192"/>
      <c r="AA1" s="192"/>
      <c r="AB1" s="192"/>
      <c r="AC1" s="192"/>
    </row>
    <row r="2" spans="1:29" ht="15" customHeight="1" x14ac:dyDescent="0.4">
      <c r="A2" s="2"/>
      <c r="B2" s="2"/>
      <c r="C2" s="2"/>
      <c r="D2" s="2"/>
      <c r="E2" s="2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2"/>
      <c r="W2" s="192"/>
      <c r="X2" s="192"/>
      <c r="Y2" s="192"/>
      <c r="Z2" s="192"/>
      <c r="AA2" s="192"/>
      <c r="AB2" s="192"/>
      <c r="AC2" s="192"/>
    </row>
    <row r="3" spans="1:29" ht="15.75" customHeight="1" thickBot="1" x14ac:dyDescent="0.45">
      <c r="A3" s="2"/>
      <c r="B3" s="2"/>
      <c r="C3" s="2"/>
      <c r="D3" s="2"/>
      <c r="E3" s="2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3"/>
      <c r="W3" s="193"/>
      <c r="X3" s="193"/>
      <c r="Y3" s="193"/>
      <c r="Z3" s="193"/>
      <c r="AA3" s="193"/>
      <c r="AB3" s="193"/>
      <c r="AC3" s="193"/>
    </row>
    <row r="4" spans="1:29" ht="30" customHeight="1" thickBot="1" x14ac:dyDescent="0.45">
      <c r="A4" s="2"/>
      <c r="B4" s="2"/>
      <c r="C4" s="2"/>
      <c r="D4" s="2"/>
      <c r="E4" s="2"/>
      <c r="F4" s="141" t="s">
        <v>27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</row>
    <row r="5" spans="1:29" ht="27.75" customHeight="1" thickBot="1" x14ac:dyDescent="0.4">
      <c r="A5" s="171" t="s">
        <v>0</v>
      </c>
      <c r="B5" s="171" t="s">
        <v>1</v>
      </c>
      <c r="C5" s="171" t="s">
        <v>2</v>
      </c>
      <c r="D5" s="171" t="s">
        <v>3</v>
      </c>
      <c r="E5" s="172" t="s">
        <v>4</v>
      </c>
      <c r="F5" s="201" t="s">
        <v>5</v>
      </c>
      <c r="G5" s="203" t="s">
        <v>6</v>
      </c>
      <c r="H5" s="198" t="s">
        <v>7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00"/>
      <c r="AB5" s="194" t="s">
        <v>8</v>
      </c>
      <c r="AC5" s="135" t="s">
        <v>9</v>
      </c>
    </row>
    <row r="6" spans="1:29" ht="29.25" customHeight="1" thickTop="1" x14ac:dyDescent="0.25">
      <c r="A6" s="171"/>
      <c r="B6" s="171"/>
      <c r="C6" s="171"/>
      <c r="D6" s="171"/>
      <c r="E6" s="172"/>
      <c r="F6" s="202"/>
      <c r="G6" s="204"/>
      <c r="H6" s="173" t="s">
        <v>12</v>
      </c>
      <c r="I6" s="174"/>
      <c r="J6" s="174"/>
      <c r="K6" s="174"/>
      <c r="L6" s="174"/>
      <c r="M6" s="175" t="s">
        <v>30</v>
      </c>
      <c r="N6" s="174"/>
      <c r="O6" s="174"/>
      <c r="P6" s="174"/>
      <c r="Q6" s="176"/>
      <c r="R6" s="175" t="s">
        <v>13</v>
      </c>
      <c r="S6" s="174"/>
      <c r="T6" s="174"/>
      <c r="U6" s="174"/>
      <c r="V6" s="176"/>
      <c r="W6" s="175" t="s">
        <v>39</v>
      </c>
      <c r="X6" s="174"/>
      <c r="Y6" s="174"/>
      <c r="Z6" s="174"/>
      <c r="AA6" s="176"/>
      <c r="AB6" s="195"/>
      <c r="AC6" s="136"/>
    </row>
    <row r="7" spans="1:29" ht="27.75" x14ac:dyDescent="0.25">
      <c r="A7" s="171"/>
      <c r="B7" s="171"/>
      <c r="C7" s="171"/>
      <c r="D7" s="171"/>
      <c r="E7" s="172"/>
      <c r="F7" s="202"/>
      <c r="G7" s="204"/>
      <c r="H7" s="35" t="s">
        <v>17</v>
      </c>
      <c r="I7" s="36" t="s">
        <v>18</v>
      </c>
      <c r="J7" s="196" t="s">
        <v>19</v>
      </c>
      <c r="K7" s="37" t="s">
        <v>20</v>
      </c>
      <c r="L7" s="38" t="s">
        <v>21</v>
      </c>
      <c r="M7" s="39" t="s">
        <v>17</v>
      </c>
      <c r="N7" s="36" t="s">
        <v>18</v>
      </c>
      <c r="O7" s="196" t="s">
        <v>19</v>
      </c>
      <c r="P7" s="37" t="s">
        <v>20</v>
      </c>
      <c r="Q7" s="40" t="s">
        <v>21</v>
      </c>
      <c r="R7" s="39" t="s">
        <v>17</v>
      </c>
      <c r="S7" s="36" t="s">
        <v>18</v>
      </c>
      <c r="T7" s="196" t="s">
        <v>19</v>
      </c>
      <c r="U7" s="37" t="s">
        <v>20</v>
      </c>
      <c r="V7" s="40" t="s">
        <v>21</v>
      </c>
      <c r="W7" s="39" t="s">
        <v>17</v>
      </c>
      <c r="X7" s="36" t="s">
        <v>18</v>
      </c>
      <c r="Y7" s="196" t="s">
        <v>19</v>
      </c>
      <c r="Z7" s="37" t="s">
        <v>20</v>
      </c>
      <c r="AA7" s="40" t="s">
        <v>21</v>
      </c>
      <c r="AB7" s="195"/>
      <c r="AC7" s="137"/>
    </row>
    <row r="8" spans="1:29" ht="24" customHeight="1" thickBot="1" x14ac:dyDescent="0.3">
      <c r="A8" s="171"/>
      <c r="B8" s="171"/>
      <c r="C8" s="171"/>
      <c r="D8" s="171"/>
      <c r="E8" s="172"/>
      <c r="F8" s="54">
        <f>AB8+R18+W13+W18</f>
        <v>16</v>
      </c>
      <c r="G8" s="3">
        <f>AC8+X13+S18+X18</f>
        <v>30</v>
      </c>
      <c r="H8" s="41">
        <v>0.6</v>
      </c>
      <c r="I8" s="42">
        <v>0.4</v>
      </c>
      <c r="J8" s="197"/>
      <c r="K8" s="43">
        <v>2</v>
      </c>
      <c r="L8" s="44">
        <v>5</v>
      </c>
      <c r="M8" s="45">
        <v>0.6</v>
      </c>
      <c r="N8" s="42">
        <v>0.4</v>
      </c>
      <c r="O8" s="197"/>
      <c r="P8" s="43">
        <v>2</v>
      </c>
      <c r="Q8" s="46">
        <v>5</v>
      </c>
      <c r="R8" s="45">
        <v>0.6</v>
      </c>
      <c r="S8" s="42">
        <v>0.4</v>
      </c>
      <c r="T8" s="197"/>
      <c r="U8" s="43">
        <v>2</v>
      </c>
      <c r="V8" s="46">
        <v>4</v>
      </c>
      <c r="W8" s="45">
        <v>0.6</v>
      </c>
      <c r="X8" s="42">
        <v>0.4</v>
      </c>
      <c r="Y8" s="197"/>
      <c r="Z8" s="43">
        <v>2</v>
      </c>
      <c r="AA8" s="46">
        <v>4</v>
      </c>
      <c r="AB8" s="50">
        <f>K8+P8+U8+Z8</f>
        <v>8</v>
      </c>
      <c r="AC8" s="47">
        <f>L8+Q8+V8+AA8</f>
        <v>18</v>
      </c>
    </row>
    <row r="9" spans="1:29" ht="32.25" customHeight="1" thickTop="1" thickBot="1" x14ac:dyDescent="0.3">
      <c r="B9" s="1"/>
      <c r="C9" s="1"/>
      <c r="D9" s="1"/>
      <c r="E9" s="53"/>
      <c r="F9" s="144">
        <f>IFERROR((AB9*AB8+W14*W13+R19*R18+W19*W18)/F8,"")</f>
        <v>0</v>
      </c>
      <c r="G9" s="147">
        <f>IFERROR(IF(F9*1&gt;=10,G8,AC9+X14+S19+X19),"")</f>
        <v>0</v>
      </c>
      <c r="H9" s="70"/>
      <c r="I9" s="71"/>
      <c r="J9" s="71"/>
      <c r="K9" s="72">
        <f>IFERROR(IF(H9*H8+I9*I8&gt;IFERROR(J9*H8+I9*I8,0),H9*H8+I9*I8,IFERROR(J9*H8+I9*I8,0)),"")</f>
        <v>0</v>
      </c>
      <c r="L9" s="73">
        <f>IFERROR(IF(K9*1&gt;=10,L8,0),"")</f>
        <v>0</v>
      </c>
      <c r="M9" s="80"/>
      <c r="N9" s="81"/>
      <c r="O9" s="81"/>
      <c r="P9" s="74">
        <f>IFERROR(IF(M9*M8+N9*N8&gt;IFERROR(O9*M8+N9*N8,0),M9*M8+N9*N8,IFERROR(O9*M8+N9*N8,0)),"")</f>
        <v>0</v>
      </c>
      <c r="Q9" s="75">
        <f>IFERROR(IF(P9*1&gt;=10,Q8,0),"")</f>
        <v>0</v>
      </c>
      <c r="R9" s="80"/>
      <c r="S9" s="81"/>
      <c r="T9" s="81"/>
      <c r="U9" s="74">
        <f>IFERROR(IF(R9*R8+S9*S8&gt;IFERROR(T9*R8+S9*S8,0),R9*R8+S9*S8,IFERROR(T9*R8+S9*S8,0)),"")</f>
        <v>0</v>
      </c>
      <c r="V9" s="75">
        <f>IFERROR(IF(U9*1&gt;=10,V8,0),"")</f>
        <v>0</v>
      </c>
      <c r="W9" s="80"/>
      <c r="X9" s="81"/>
      <c r="Y9" s="82"/>
      <c r="Z9" s="76">
        <f>IFERROR(IF(W9*W8+X9*X8&gt;IFERROR(Y9*W8+X9*X8,0),W9*W8+X9*X8,IFERROR(Y9*W8+X9*X8,0)),"")</f>
        <v>0</v>
      </c>
      <c r="AA9" s="77">
        <f>IFERROR(IF(Z9*1&gt;=10,AA8,0),"")</f>
        <v>0</v>
      </c>
      <c r="AB9" s="78">
        <f>IFERROR((K9*K8+P9*P8+U9*U8+Z9*Z8)/AB8,"")</f>
        <v>0</v>
      </c>
      <c r="AC9" s="79">
        <f>IFERROR(IF(AB9*1&gt;=10,AC8,L9+Q9+V9+AA9),"")</f>
        <v>0</v>
      </c>
    </row>
    <row r="10" spans="1:29" ht="25.5" customHeight="1" thickTop="1" thickBot="1" x14ac:dyDescent="0.35">
      <c r="F10" s="145"/>
      <c r="G10" s="148"/>
      <c r="H10" s="162" t="s">
        <v>11</v>
      </c>
      <c r="I10" s="163"/>
      <c r="J10" s="163"/>
      <c r="K10" s="163"/>
      <c r="L10" s="163"/>
      <c r="M10" s="164"/>
      <c r="N10" s="164"/>
      <c r="O10" s="164"/>
      <c r="P10" s="164"/>
      <c r="Q10" s="164"/>
      <c r="R10" s="164"/>
      <c r="S10" s="164"/>
      <c r="T10" s="164"/>
      <c r="U10" s="164"/>
      <c r="V10" s="165"/>
      <c r="W10" s="138" t="s">
        <v>23</v>
      </c>
      <c r="X10" s="139" t="s">
        <v>24</v>
      </c>
      <c r="Y10" s="122" t="s">
        <v>53</v>
      </c>
      <c r="Z10" s="122"/>
      <c r="AA10" s="122"/>
      <c r="AB10" s="122"/>
      <c r="AC10" s="123"/>
    </row>
    <row r="11" spans="1:29" ht="25.5" customHeight="1" thickTop="1" x14ac:dyDescent="0.25">
      <c r="F11" s="145"/>
      <c r="G11" s="148"/>
      <c r="H11" s="166" t="s">
        <v>31</v>
      </c>
      <c r="I11" s="166"/>
      <c r="J11" s="166"/>
      <c r="K11" s="166"/>
      <c r="L11" s="167"/>
      <c r="M11" s="168" t="s">
        <v>32</v>
      </c>
      <c r="N11" s="169"/>
      <c r="O11" s="169"/>
      <c r="P11" s="169"/>
      <c r="Q11" s="170"/>
      <c r="R11" s="166" t="s">
        <v>14</v>
      </c>
      <c r="S11" s="166"/>
      <c r="T11" s="166"/>
      <c r="U11" s="166"/>
      <c r="V11" s="166"/>
      <c r="W11" s="138"/>
      <c r="X11" s="139"/>
      <c r="Y11" s="57">
        <v>1</v>
      </c>
      <c r="Z11" s="115" t="str">
        <f t="shared" ref="Z11:Z20" si="0">IFERROR(VLOOKUP(Y11,$F$30:$H$39,3,FALSE),"")</f>
        <v>Introduction à l économie</v>
      </c>
      <c r="AA11" s="116"/>
      <c r="AB11" s="116"/>
      <c r="AC11" s="117"/>
    </row>
    <row r="12" spans="1:29" ht="27.75" customHeight="1" x14ac:dyDescent="0.25">
      <c r="F12" s="145"/>
      <c r="G12" s="148"/>
      <c r="H12" s="4" t="s">
        <v>17</v>
      </c>
      <c r="I12" s="5" t="s">
        <v>18</v>
      </c>
      <c r="J12" s="133" t="s">
        <v>19</v>
      </c>
      <c r="K12" s="6" t="s">
        <v>20</v>
      </c>
      <c r="L12" s="7" t="s">
        <v>21</v>
      </c>
      <c r="M12" s="8" t="s">
        <v>17</v>
      </c>
      <c r="N12" s="5" t="s">
        <v>18</v>
      </c>
      <c r="O12" s="205" t="s">
        <v>19</v>
      </c>
      <c r="P12" s="9" t="s">
        <v>20</v>
      </c>
      <c r="Q12" s="10" t="s">
        <v>21</v>
      </c>
      <c r="R12" s="184" t="s">
        <v>17</v>
      </c>
      <c r="S12" s="185"/>
      <c r="T12" s="133" t="s">
        <v>19</v>
      </c>
      <c r="U12" s="6" t="s">
        <v>20</v>
      </c>
      <c r="V12" s="11" t="s">
        <v>21</v>
      </c>
      <c r="W12" s="138"/>
      <c r="X12" s="140"/>
      <c r="Y12" s="57">
        <v>2</v>
      </c>
      <c r="Z12" s="115" t="str">
        <f t="shared" si="0"/>
        <v>Micro- économie 1</v>
      </c>
      <c r="AA12" s="116"/>
      <c r="AB12" s="116"/>
      <c r="AC12" s="117"/>
    </row>
    <row r="13" spans="1:29" ht="24" customHeight="1" thickBot="1" x14ac:dyDescent="0.3">
      <c r="F13" s="145"/>
      <c r="G13" s="148"/>
      <c r="H13" s="12">
        <v>0.6</v>
      </c>
      <c r="I13" s="12">
        <v>0.4</v>
      </c>
      <c r="J13" s="134"/>
      <c r="K13" s="13">
        <v>2</v>
      </c>
      <c r="L13" s="14">
        <v>4</v>
      </c>
      <c r="M13" s="15">
        <v>0.6</v>
      </c>
      <c r="N13" s="12">
        <v>0.4</v>
      </c>
      <c r="O13" s="206"/>
      <c r="P13" s="13">
        <v>2</v>
      </c>
      <c r="Q13" s="16">
        <v>4</v>
      </c>
      <c r="R13" s="186">
        <v>1</v>
      </c>
      <c r="S13" s="187"/>
      <c r="T13" s="134"/>
      <c r="U13" s="13">
        <v>1</v>
      </c>
      <c r="V13" s="18">
        <v>1</v>
      </c>
      <c r="W13" s="19">
        <f>K13+P13+U13</f>
        <v>5</v>
      </c>
      <c r="X13" s="55">
        <f>L13+Q13+V13</f>
        <v>9</v>
      </c>
      <c r="Y13" s="57">
        <v>3</v>
      </c>
      <c r="Z13" s="115" t="str">
        <f t="shared" si="0"/>
        <v xml:space="preserve"> Histoire des faits économiques </v>
      </c>
      <c r="AA13" s="116"/>
      <c r="AB13" s="116"/>
      <c r="AC13" s="117"/>
    </row>
    <row r="14" spans="1:29" ht="29.25" customHeight="1" thickTop="1" thickBot="1" x14ac:dyDescent="0.3">
      <c r="F14" s="145"/>
      <c r="G14" s="148"/>
      <c r="H14" s="70"/>
      <c r="I14" s="71"/>
      <c r="J14" s="71"/>
      <c r="K14" s="88">
        <f>IFERROR(IF(H14*H13+I14*I13&gt;IFERROR(J14*H13+I14*I13,0),H14*H13+I14*I13,IFERROR(J14*H13+I14*I13,0)),"")</f>
        <v>0</v>
      </c>
      <c r="L14" s="89">
        <f>IFERROR(IF(K14*1&gt;=10,L13,0),"")</f>
        <v>0</v>
      </c>
      <c r="M14" s="80"/>
      <c r="N14" s="81"/>
      <c r="O14" s="81"/>
      <c r="P14" s="90">
        <f>IFERROR(IF(M14*M13+N14*N13&gt;IFERROR(O14*M13+N14*N13,0),M14*M13+N14*N13,IFERROR(O14*M13+N14*N13,0)),"")</f>
        <v>0</v>
      </c>
      <c r="Q14" s="91">
        <f>IFERROR(IF(P14*1&gt;=10,Q13,0),"")</f>
        <v>0</v>
      </c>
      <c r="R14" s="188"/>
      <c r="S14" s="189"/>
      <c r="T14" s="71"/>
      <c r="U14" s="88">
        <f>IFERROR(IF(R14*R13+S14*S13&gt;IFERROR(T14*R13+S14*S13,0),R14*R13+S14*S13,IFERROR(T14*R13+S14*S13,0)),"")</f>
        <v>0</v>
      </c>
      <c r="V14" s="89">
        <f>IFERROR(IF(U14*1&gt;=10,V13,0),"")</f>
        <v>0</v>
      </c>
      <c r="W14" s="92">
        <f>IFERROR((U14*U13+K14*K13+P14*P13)/W13,"")</f>
        <v>0</v>
      </c>
      <c r="X14" s="89">
        <f>IFERROR(IF(W14*1&gt;=10,X13,V14+L14+Q14),"")</f>
        <v>0</v>
      </c>
      <c r="Y14" s="57">
        <v>4</v>
      </c>
      <c r="Z14" s="115" t="str">
        <f t="shared" si="0"/>
        <v>Comptabilité générale 1</v>
      </c>
      <c r="AA14" s="116"/>
      <c r="AB14" s="116"/>
      <c r="AC14" s="117"/>
    </row>
    <row r="15" spans="1:29" ht="24.75" customHeight="1" thickTop="1" thickBot="1" x14ac:dyDescent="0.35">
      <c r="F15" s="145"/>
      <c r="G15" s="148"/>
      <c r="H15" s="127" t="s">
        <v>10</v>
      </c>
      <c r="I15" s="128"/>
      <c r="J15" s="128"/>
      <c r="K15" s="128"/>
      <c r="L15" s="128"/>
      <c r="M15" s="129"/>
      <c r="N15" s="129"/>
      <c r="O15" s="129"/>
      <c r="P15" s="129"/>
      <c r="Q15" s="130"/>
      <c r="R15" s="151" t="s">
        <v>25</v>
      </c>
      <c r="S15" s="153" t="s">
        <v>26</v>
      </c>
      <c r="T15" s="158" t="s">
        <v>55</v>
      </c>
      <c r="U15" s="159"/>
      <c r="V15" s="159"/>
      <c r="W15" s="159"/>
      <c r="X15" s="159"/>
      <c r="Y15" s="57">
        <v>5</v>
      </c>
      <c r="Z15" s="115" t="str">
        <f t="shared" si="0"/>
        <v>Statistiques 1</v>
      </c>
      <c r="AA15" s="116"/>
      <c r="AB15" s="116"/>
      <c r="AC15" s="117"/>
    </row>
    <row r="16" spans="1:29" ht="32.25" customHeight="1" thickTop="1" x14ac:dyDescent="0.25">
      <c r="F16" s="145"/>
      <c r="G16" s="149"/>
      <c r="H16" s="124" t="s">
        <v>15</v>
      </c>
      <c r="I16" s="125"/>
      <c r="J16" s="125"/>
      <c r="K16" s="125"/>
      <c r="L16" s="126"/>
      <c r="M16" s="124" t="s">
        <v>16</v>
      </c>
      <c r="N16" s="125"/>
      <c r="O16" s="125"/>
      <c r="P16" s="125"/>
      <c r="Q16" s="126"/>
      <c r="R16" s="152"/>
      <c r="S16" s="154"/>
      <c r="T16" s="156" t="s">
        <v>33</v>
      </c>
      <c r="U16" s="157"/>
      <c r="V16" s="157"/>
      <c r="W16" s="157"/>
      <c r="X16" s="157"/>
      <c r="Y16" s="57">
        <v>6</v>
      </c>
      <c r="Z16" s="115" t="str">
        <f t="shared" si="0"/>
        <v xml:space="preserve"> Mathematiques 1</v>
      </c>
      <c r="AA16" s="116"/>
      <c r="AB16" s="116"/>
      <c r="AC16" s="117"/>
    </row>
    <row r="17" spans="6:29" ht="27.75" customHeight="1" x14ac:dyDescent="0.25">
      <c r="F17" s="145"/>
      <c r="G17" s="149"/>
      <c r="H17" s="207" t="s">
        <v>17</v>
      </c>
      <c r="I17" s="208"/>
      <c r="J17" s="131" t="s">
        <v>19</v>
      </c>
      <c r="K17" s="31" t="s">
        <v>20</v>
      </c>
      <c r="L17" s="32" t="s">
        <v>21</v>
      </c>
      <c r="M17" s="207" t="s">
        <v>17</v>
      </c>
      <c r="N17" s="208"/>
      <c r="O17" s="131" t="s">
        <v>19</v>
      </c>
      <c r="P17" s="31" t="s">
        <v>20</v>
      </c>
      <c r="Q17" s="48" t="s">
        <v>21</v>
      </c>
      <c r="R17" s="152"/>
      <c r="S17" s="155"/>
      <c r="T17" s="24" t="s">
        <v>17</v>
      </c>
      <c r="U17" s="21" t="s">
        <v>18</v>
      </c>
      <c r="V17" s="160" t="s">
        <v>19</v>
      </c>
      <c r="W17" s="22" t="s">
        <v>20</v>
      </c>
      <c r="X17" s="23" t="s">
        <v>21</v>
      </c>
      <c r="Y17" s="57">
        <v>7</v>
      </c>
      <c r="Z17" s="115" t="str">
        <f t="shared" si="0"/>
        <v xml:space="preserve"> Methodologie</v>
      </c>
      <c r="AA17" s="116"/>
      <c r="AB17" s="116"/>
      <c r="AC17" s="117"/>
    </row>
    <row r="18" spans="6:29" ht="24" customHeight="1" thickBot="1" x14ac:dyDescent="0.3">
      <c r="F18" s="145"/>
      <c r="G18" s="149"/>
      <c r="H18" s="209">
        <v>1</v>
      </c>
      <c r="I18" s="210"/>
      <c r="J18" s="132"/>
      <c r="K18" s="33">
        <v>1</v>
      </c>
      <c r="L18" s="34">
        <v>1</v>
      </c>
      <c r="M18" s="209">
        <v>1</v>
      </c>
      <c r="N18" s="210"/>
      <c r="O18" s="132"/>
      <c r="P18" s="33">
        <v>1</v>
      </c>
      <c r="Q18" s="49">
        <v>1</v>
      </c>
      <c r="R18" s="51">
        <f>K18+P18</f>
        <v>2</v>
      </c>
      <c r="S18" s="52">
        <f>L18+Q18</f>
        <v>2</v>
      </c>
      <c r="T18" s="29">
        <v>0.6</v>
      </c>
      <c r="U18" s="26">
        <v>0.4</v>
      </c>
      <c r="V18" s="161"/>
      <c r="W18" s="27">
        <v>1</v>
      </c>
      <c r="X18" s="28">
        <v>1</v>
      </c>
      <c r="Y18" s="57">
        <v>8</v>
      </c>
      <c r="Z18" s="115" t="str">
        <f t="shared" si="0"/>
        <v xml:space="preserve">introduction au droit </v>
      </c>
      <c r="AA18" s="116"/>
      <c r="AB18" s="116"/>
      <c r="AC18" s="117"/>
    </row>
    <row r="19" spans="6:29" ht="35.25" customHeight="1" thickTop="1" thickBot="1" x14ac:dyDescent="0.3">
      <c r="F19" s="146"/>
      <c r="G19" s="150"/>
      <c r="H19" s="211"/>
      <c r="I19" s="212"/>
      <c r="J19" s="99"/>
      <c r="K19" s="93">
        <f>IFERROR(IF(H19*H18+I19*I18&gt;IFERROR(J19*H18+I19*I18,0),H19*H18+I19*I18,IFERROR(J19*H18+I19*I18,0)),"")</f>
        <v>0</v>
      </c>
      <c r="L19" s="94">
        <f>IFERROR(IF(K19*1&gt;=10,L18,0),"")</f>
        <v>0</v>
      </c>
      <c r="M19" s="211"/>
      <c r="N19" s="212"/>
      <c r="O19" s="99"/>
      <c r="P19" s="93">
        <f>IFERROR(IF(M19*M18+N19*N18&gt;IFERROR(O19*M18+N19*N18,0),M19*M18+N19*N18,IFERROR(O19*M18+N19*N18,0)),"")</f>
        <v>0</v>
      </c>
      <c r="Q19" s="94">
        <f>IFERROR(IF(P19*1&gt;=10,Q18,0),"")</f>
        <v>0</v>
      </c>
      <c r="R19" s="95">
        <f>IFERROR((K19*K18+P19*P18)/R18,"")</f>
        <v>0</v>
      </c>
      <c r="S19" s="96">
        <f>IFERROR(IF(R19*1&gt;=10,S18,L19+Q19),"")</f>
        <v>0</v>
      </c>
      <c r="T19" s="100"/>
      <c r="U19" s="99"/>
      <c r="V19" s="99"/>
      <c r="W19" s="97">
        <f>IFERROR(IF(T19*T18+U19*U18&gt;IFERROR(V19*T18+U19*U18,0),T19*T18+U19*U18,IFERROR(V19*T18+U19*U18,0)),"")</f>
        <v>0</v>
      </c>
      <c r="X19" s="98">
        <f>IFERROR(IF(W19*1&gt;=10,X18,0),"")</f>
        <v>0</v>
      </c>
      <c r="Y19" s="57">
        <v>9</v>
      </c>
      <c r="Z19" s="115" t="str">
        <f t="shared" si="0"/>
        <v>Intoduction à la sociologie</v>
      </c>
      <c r="AA19" s="116"/>
      <c r="AB19" s="116"/>
      <c r="AC19" s="117"/>
    </row>
    <row r="20" spans="6:29" ht="30" customHeight="1" x14ac:dyDescent="0.25">
      <c r="Y20" s="57">
        <v>10</v>
      </c>
      <c r="Z20" s="115" t="str">
        <f t="shared" si="0"/>
        <v>Anglais 1</v>
      </c>
      <c r="AA20" s="116"/>
      <c r="AB20" s="116"/>
      <c r="AC20" s="117"/>
    </row>
    <row r="22" spans="6:29" ht="30" customHeight="1" x14ac:dyDescent="0.25">
      <c r="F22" s="118" t="s">
        <v>41</v>
      </c>
      <c r="G22" s="118"/>
      <c r="H22" s="118"/>
      <c r="I22" s="118"/>
      <c r="J22" s="118"/>
      <c r="K22" s="118"/>
      <c r="L22" s="120">
        <f>F9</f>
        <v>0</v>
      </c>
      <c r="M22" s="120"/>
      <c r="N22" s="120"/>
      <c r="O22" s="120"/>
      <c r="P22" s="120"/>
      <c r="Q22" s="118" t="s">
        <v>42</v>
      </c>
      <c r="R22" s="118"/>
      <c r="S22" s="118"/>
      <c r="T22" s="118"/>
      <c r="U22" s="118"/>
      <c r="V22" s="118"/>
      <c r="W22" s="121">
        <f>G9</f>
        <v>0</v>
      </c>
      <c r="X22" s="121"/>
      <c r="Y22" s="121"/>
      <c r="Z22" s="121"/>
      <c r="AA22" s="121"/>
    </row>
    <row r="24" spans="6:29" x14ac:dyDescent="0.25">
      <c r="F24" s="114" t="s">
        <v>48</v>
      </c>
      <c r="G24" s="114"/>
      <c r="H24" s="114"/>
      <c r="I24" s="114"/>
      <c r="J24" s="114"/>
      <c r="K24" s="114" t="str">
        <f>IF(OR(J9&gt;0,O9&gt;0,T9&gt;0,Y9&gt;0,J14&gt;0,O14&gt;0,T14&gt;0,J19&gt;0,O19&gt;0,V19&gt;0),"OUI","NON")</f>
        <v>NON</v>
      </c>
      <c r="L24" s="114"/>
      <c r="M24" s="114"/>
      <c r="N24" s="114"/>
      <c r="O24" s="119"/>
      <c r="P24" s="119"/>
      <c r="Q24" s="119"/>
      <c r="R24" s="119"/>
      <c r="S24" s="119"/>
      <c r="T24" s="119"/>
      <c r="U24" s="119"/>
      <c r="V24" s="119"/>
      <c r="W24" s="119"/>
      <c r="X24" s="112" t="s">
        <v>61</v>
      </c>
      <c r="Y24" s="113"/>
      <c r="Z24" s="113"/>
      <c r="AA24" s="113"/>
      <c r="AB24" s="113"/>
      <c r="AC24" s="113"/>
    </row>
    <row r="25" spans="6:29" ht="18" customHeight="1" x14ac:dyDescent="0.25">
      <c r="F25" s="114" t="s">
        <v>49</v>
      </c>
      <c r="G25" s="114"/>
      <c r="H25" s="114"/>
      <c r="I25" s="114"/>
      <c r="J25" s="114"/>
      <c r="K25" s="114" t="str">
        <f>IF(OR(K9&lt;10,P9&lt;10,U9&lt;10,Z9&lt;10,K14&lt;10,P14&lt;10,U14&lt;10,K19&lt;10,P19&lt;10,W19&lt;10),"OUI","NON")</f>
        <v>OUI</v>
      </c>
      <c r="L25" s="114"/>
      <c r="M25" s="114"/>
      <c r="N25" s="114"/>
      <c r="O25" s="119"/>
      <c r="P25" s="119"/>
      <c r="Q25" s="119"/>
      <c r="R25" s="119"/>
      <c r="S25" s="119"/>
      <c r="T25" s="119"/>
      <c r="U25" s="119"/>
      <c r="V25" s="119"/>
      <c r="W25" s="119"/>
      <c r="X25" s="112"/>
      <c r="Y25" s="113"/>
      <c r="Z25" s="113"/>
      <c r="AA25" s="113"/>
      <c r="AB25" s="113"/>
      <c r="AC25" s="113"/>
    </row>
    <row r="26" spans="6:29" hidden="1" x14ac:dyDescent="0.25">
      <c r="F26" s="111"/>
      <c r="G26" s="111"/>
      <c r="H26" s="111"/>
      <c r="I26" s="111"/>
      <c r="J26" s="111"/>
      <c r="K26" s="108"/>
      <c r="L26" s="108"/>
      <c r="M26" s="108"/>
      <c r="N26" s="108"/>
    </row>
    <row r="27" spans="6:29" hidden="1" x14ac:dyDescent="0.25"/>
    <row r="28" spans="6:29" ht="15.75" hidden="1" thickBot="1" x14ac:dyDescent="0.3"/>
    <row r="29" spans="6:29" ht="15" hidden="1" customHeight="1" x14ac:dyDescent="0.25">
      <c r="F29" s="181" t="s">
        <v>52</v>
      </c>
      <c r="G29" s="182"/>
      <c r="H29" s="182"/>
      <c r="I29" s="182"/>
      <c r="J29" s="182"/>
      <c r="K29" s="183"/>
      <c r="L29" s="181" t="s">
        <v>52</v>
      </c>
      <c r="M29" s="182"/>
      <c r="N29" s="182"/>
      <c r="O29" s="182"/>
      <c r="P29" s="182"/>
      <c r="Q29" s="183"/>
    </row>
    <row r="30" spans="6:29" ht="15" hidden="1" customHeight="1" x14ac:dyDescent="0.25">
      <c r="F30" s="59">
        <f>SUM($G$29:G30)</f>
        <v>1</v>
      </c>
      <c r="G30" s="58">
        <f>IF(H30="",0,1)</f>
        <v>1</v>
      </c>
      <c r="H30" s="179" t="str">
        <f>IF(AND(F9&lt;10,K9&lt;10),H6,"")</f>
        <v>Introduction à l économie</v>
      </c>
      <c r="I30" s="179"/>
      <c r="J30" s="179"/>
      <c r="K30" s="180"/>
      <c r="L30" s="59" t="e">
        <f>SUM($M$29:M30)</f>
        <v>#REF!</v>
      </c>
      <c r="M30" s="58" t="e">
        <f>IF(N30="",0,1)</f>
        <v>#REF!</v>
      </c>
      <c r="N30" s="179" t="e">
        <f>IF(AND(#REF!&lt;10,#REF!&lt;10,#REF!&lt;10),#REF!,"")</f>
        <v>#REF!</v>
      </c>
      <c r="O30" s="179"/>
      <c r="P30" s="179"/>
      <c r="Q30" s="180"/>
    </row>
    <row r="31" spans="6:29" ht="15" hidden="1" customHeight="1" x14ac:dyDescent="0.25">
      <c r="F31" s="59">
        <f>SUM($G$29:G31)</f>
        <v>2</v>
      </c>
      <c r="G31" s="58">
        <f t="shared" ref="G31:G39" si="1">IF(H31="",0,1)</f>
        <v>1</v>
      </c>
      <c r="H31" s="179" t="str">
        <f>IF(AND(F9&lt;10,P9&lt;10),M6,"")</f>
        <v>Micro- économie 1</v>
      </c>
      <c r="I31" s="179"/>
      <c r="J31" s="179"/>
      <c r="K31" s="180"/>
      <c r="L31" s="59" t="e">
        <f>SUM($M$29:M31)</f>
        <v>#REF!</v>
      </c>
      <c r="M31" s="58" t="e">
        <f>IF(N31="",0,1)</f>
        <v>#REF!</v>
      </c>
      <c r="N31" s="179" t="e">
        <f>IF(AND(#REF!&lt;10,#REF!&lt;10,#REF!&lt;10),#REF!,"")</f>
        <v>#REF!</v>
      </c>
      <c r="O31" s="179"/>
      <c r="P31" s="179"/>
      <c r="Q31" s="180"/>
    </row>
    <row r="32" spans="6:29" ht="15" hidden="1" customHeight="1" x14ac:dyDescent="0.25">
      <c r="F32" s="59">
        <f>SUM($G$29:G32)</f>
        <v>3</v>
      </c>
      <c r="G32" s="58">
        <f t="shared" si="1"/>
        <v>1</v>
      </c>
      <c r="H32" s="179" t="str">
        <f>IF(AND(F9&lt;10,U9&lt;10),R6,"")</f>
        <v xml:space="preserve"> Histoire des faits économiques </v>
      </c>
      <c r="I32" s="179"/>
      <c r="J32" s="179"/>
      <c r="K32" s="180"/>
      <c r="L32" s="59" t="e">
        <f>SUM($M$29:M32)</f>
        <v>#REF!</v>
      </c>
      <c r="M32" s="58" t="e">
        <f t="shared" ref="M32:M38" si="2">IF(N32="",0,1)</f>
        <v>#REF!</v>
      </c>
      <c r="N32" s="179" t="e">
        <f>IF(AND(#REF!&lt;10,#REF!&lt;10,#REF!&lt;10),#REF!,"")</f>
        <v>#REF!</v>
      </c>
      <c r="O32" s="179"/>
      <c r="P32" s="179"/>
      <c r="Q32" s="180"/>
    </row>
    <row r="33" spans="6:17" ht="15" hidden="1" customHeight="1" x14ac:dyDescent="0.25">
      <c r="F33" s="59">
        <f>SUM($G$29:G33)</f>
        <v>4</v>
      </c>
      <c r="G33" s="58">
        <f t="shared" si="1"/>
        <v>1</v>
      </c>
      <c r="H33" s="179" t="str">
        <f>IF(AND(F9&lt;10,Z9&lt;10),W6,"")</f>
        <v>Comptabilité générale 1</v>
      </c>
      <c r="I33" s="179"/>
      <c r="J33" s="179"/>
      <c r="K33" s="180"/>
      <c r="L33" s="59" t="e">
        <f>SUM($M$29:M33)</f>
        <v>#REF!</v>
      </c>
      <c r="M33" s="58" t="e">
        <f t="shared" si="2"/>
        <v>#REF!</v>
      </c>
      <c r="N33" s="179" t="e">
        <f>IF(AND(#REF!&lt;10,#REF!&lt;10,#REF!&lt;10),#REF!,"")</f>
        <v>#REF!</v>
      </c>
      <c r="O33" s="179"/>
      <c r="P33" s="179"/>
      <c r="Q33" s="180"/>
    </row>
    <row r="34" spans="6:17" ht="15" hidden="1" customHeight="1" x14ac:dyDescent="0.25">
      <c r="F34" s="59">
        <f>SUM($G$29:G34)</f>
        <v>5</v>
      </c>
      <c r="G34" s="58">
        <f t="shared" si="1"/>
        <v>1</v>
      </c>
      <c r="H34" s="179" t="str">
        <f>IF(AND(F9&lt;10,K14&lt;10),H11,"")</f>
        <v>Statistiques 1</v>
      </c>
      <c r="I34" s="179"/>
      <c r="J34" s="179"/>
      <c r="K34" s="180"/>
      <c r="L34" s="59" t="e">
        <f>SUM($M$29:M34)</f>
        <v>#REF!</v>
      </c>
      <c r="M34" s="58" t="e">
        <f t="shared" si="2"/>
        <v>#REF!</v>
      </c>
      <c r="N34" s="179" t="e">
        <f>IF(AND(#REF!&lt;10,#REF!&lt;10,#REF!&lt;10),#REF!,"")</f>
        <v>#REF!</v>
      </c>
      <c r="O34" s="179"/>
      <c r="P34" s="179"/>
      <c r="Q34" s="180"/>
    </row>
    <row r="35" spans="6:17" ht="15" hidden="1" customHeight="1" x14ac:dyDescent="0.25">
      <c r="F35" s="59">
        <f>SUM($G$29:G35)</f>
        <v>6</v>
      </c>
      <c r="G35" s="58">
        <f t="shared" si="1"/>
        <v>1</v>
      </c>
      <c r="H35" s="179" t="str">
        <f>IF(AND(F9&lt;10,P14&lt;10),M11,"")</f>
        <v xml:space="preserve"> Mathematiques 1</v>
      </c>
      <c r="I35" s="179"/>
      <c r="J35" s="179"/>
      <c r="K35" s="180"/>
      <c r="L35" s="59" t="e">
        <f>SUM($M$29:M35)</f>
        <v>#REF!</v>
      </c>
      <c r="M35" s="58" t="e">
        <f t="shared" si="2"/>
        <v>#REF!</v>
      </c>
      <c r="N35" s="179" t="e">
        <f>IF(AND(#REF!&lt;10,#REF!&lt;10,#REF!&lt;10),#REF!,"")</f>
        <v>#REF!</v>
      </c>
      <c r="O35" s="179"/>
      <c r="P35" s="179"/>
      <c r="Q35" s="180"/>
    </row>
    <row r="36" spans="6:17" ht="15" hidden="1" customHeight="1" x14ac:dyDescent="0.25">
      <c r="F36" s="59">
        <f>SUM($G$29:G36)</f>
        <v>7</v>
      </c>
      <c r="G36" s="58">
        <f t="shared" si="1"/>
        <v>1</v>
      </c>
      <c r="H36" s="179" t="str">
        <f>IF(AND(F9&lt;10,U14&lt;10),R11,"")</f>
        <v xml:space="preserve"> Methodologie</v>
      </c>
      <c r="I36" s="179"/>
      <c r="J36" s="179"/>
      <c r="K36" s="180"/>
      <c r="L36" s="59" t="e">
        <f>SUM($M$29:M36)</f>
        <v>#REF!</v>
      </c>
      <c r="M36" s="58" t="e">
        <f t="shared" si="2"/>
        <v>#REF!</v>
      </c>
      <c r="N36" s="179" t="e">
        <f>IF(AND(#REF!&lt;10,#REF!&lt;10,#REF!&lt;10),#REF!,"")</f>
        <v>#REF!</v>
      </c>
      <c r="O36" s="179"/>
      <c r="P36" s="179"/>
      <c r="Q36" s="180"/>
    </row>
    <row r="37" spans="6:17" ht="15" hidden="1" customHeight="1" x14ac:dyDescent="0.25">
      <c r="F37" s="59">
        <f>SUM($G$29:G37)</f>
        <v>8</v>
      </c>
      <c r="G37" s="58">
        <f t="shared" si="1"/>
        <v>1</v>
      </c>
      <c r="H37" s="179" t="str">
        <f>IF(AND(F9&lt;10,K19&lt;10),H16,"")</f>
        <v xml:space="preserve">introduction au droit </v>
      </c>
      <c r="I37" s="179"/>
      <c r="J37" s="179"/>
      <c r="K37" s="180"/>
      <c r="L37" s="59" t="e">
        <f>SUM($M$29:M37)</f>
        <v>#REF!</v>
      </c>
      <c r="M37" s="58" t="e">
        <f t="shared" si="2"/>
        <v>#REF!</v>
      </c>
      <c r="N37" s="179" t="e">
        <f>IF(AND(#REF!&lt;10,#REF!&lt;10,#REF!&lt;10),#REF!,"")</f>
        <v>#REF!</v>
      </c>
      <c r="O37" s="179"/>
      <c r="P37" s="179"/>
      <c r="Q37" s="180"/>
    </row>
    <row r="38" spans="6:17" ht="15.75" hidden="1" customHeight="1" thickBot="1" x14ac:dyDescent="0.3">
      <c r="F38" s="59">
        <f>SUM($G$29:G38)</f>
        <v>9</v>
      </c>
      <c r="G38" s="58">
        <f t="shared" si="1"/>
        <v>1</v>
      </c>
      <c r="H38" s="179" t="str">
        <f>IF(AND(F9&lt;10,P19&lt;10),M16,"")</f>
        <v>Intoduction à la sociologie</v>
      </c>
      <c r="I38" s="179"/>
      <c r="J38" s="179"/>
      <c r="K38" s="180"/>
      <c r="L38" s="59" t="e">
        <f>SUM($M$29:M38)</f>
        <v>#REF!</v>
      </c>
      <c r="M38" s="58" t="e">
        <f t="shared" si="2"/>
        <v>#REF!</v>
      </c>
      <c r="N38" s="177" t="e">
        <f>IF(AND(#REF!&lt;10,#REF!&lt;10),#REF!,"")</f>
        <v>#REF!</v>
      </c>
      <c r="O38" s="177"/>
      <c r="P38" s="177"/>
      <c r="Q38" s="178"/>
    </row>
    <row r="39" spans="6:17" ht="15.75" hidden="1" customHeight="1" thickBot="1" x14ac:dyDescent="0.3">
      <c r="F39" s="60">
        <f>SUM($G$29:G39)</f>
        <v>10</v>
      </c>
      <c r="G39" s="61">
        <f t="shared" si="1"/>
        <v>1</v>
      </c>
      <c r="H39" s="177" t="str">
        <f>IF(AND(F9&lt;10,W19&lt;10),T16,"")</f>
        <v>Anglais 1</v>
      </c>
      <c r="I39" s="177"/>
      <c r="J39" s="177"/>
      <c r="K39" s="178"/>
      <c r="L39" s="60"/>
      <c r="M39" s="61"/>
      <c r="N39" s="177"/>
      <c r="O39" s="177"/>
      <c r="P39" s="177"/>
      <c r="Q39" s="178"/>
    </row>
  </sheetData>
  <sheetProtection password="E059" sheet="1" objects="1" scenarios="1" selectLockedCells="1"/>
  <mergeCells count="98">
    <mergeCell ref="M19:N19"/>
    <mergeCell ref="H17:I17"/>
    <mergeCell ref="H18:I18"/>
    <mergeCell ref="H19:I19"/>
    <mergeCell ref="F1:U3"/>
    <mergeCell ref="V1:AC3"/>
    <mergeCell ref="AB5:AB7"/>
    <mergeCell ref="J7:J8"/>
    <mergeCell ref="O7:O8"/>
    <mergeCell ref="T7:T8"/>
    <mergeCell ref="W6:AA6"/>
    <mergeCell ref="Y7:Y8"/>
    <mergeCell ref="H5:AA5"/>
    <mergeCell ref="F5:F7"/>
    <mergeCell ref="G5:G7"/>
    <mergeCell ref="N38:Q38"/>
    <mergeCell ref="L29:Q29"/>
    <mergeCell ref="N30:Q30"/>
    <mergeCell ref="N31:Q31"/>
    <mergeCell ref="N32:Q32"/>
    <mergeCell ref="N33:Q33"/>
    <mergeCell ref="N39:Q39"/>
    <mergeCell ref="H37:K37"/>
    <mergeCell ref="H38:K38"/>
    <mergeCell ref="H39:K39"/>
    <mergeCell ref="F29:K29"/>
    <mergeCell ref="H30:K30"/>
    <mergeCell ref="H31:K31"/>
    <mergeCell ref="H32:K32"/>
    <mergeCell ref="H33:K33"/>
    <mergeCell ref="H34:K34"/>
    <mergeCell ref="H35:K35"/>
    <mergeCell ref="H36:K36"/>
    <mergeCell ref="N34:Q34"/>
    <mergeCell ref="N35:Q35"/>
    <mergeCell ref="N36:Q36"/>
    <mergeCell ref="N37:Q37"/>
    <mergeCell ref="A5:A8"/>
    <mergeCell ref="B5:B8"/>
    <mergeCell ref="C5:C8"/>
    <mergeCell ref="D5:D8"/>
    <mergeCell ref="E5:E8"/>
    <mergeCell ref="F4:AC4"/>
    <mergeCell ref="F9:F19"/>
    <mergeCell ref="G9:G19"/>
    <mergeCell ref="R15:R17"/>
    <mergeCell ref="S15:S17"/>
    <mergeCell ref="T16:X16"/>
    <mergeCell ref="T15:X15"/>
    <mergeCell ref="V17:V18"/>
    <mergeCell ref="H10:V10"/>
    <mergeCell ref="H11:L11"/>
    <mergeCell ref="M11:Q11"/>
    <mergeCell ref="R11:V11"/>
    <mergeCell ref="H6:L6"/>
    <mergeCell ref="M6:Q6"/>
    <mergeCell ref="R6:V6"/>
    <mergeCell ref="R12:S12"/>
    <mergeCell ref="J17:J18"/>
    <mergeCell ref="O17:O18"/>
    <mergeCell ref="T12:T13"/>
    <mergeCell ref="AC5:AC7"/>
    <mergeCell ref="W10:W12"/>
    <mergeCell ref="X10:X12"/>
    <mergeCell ref="R13:S13"/>
    <mergeCell ref="R14:S14"/>
    <mergeCell ref="J12:J13"/>
    <mergeCell ref="O12:O13"/>
    <mergeCell ref="M17:N17"/>
    <mergeCell ref="M18:N18"/>
    <mergeCell ref="Z19:AC19"/>
    <mergeCell ref="F22:K22"/>
    <mergeCell ref="L22:P22"/>
    <mergeCell ref="W22:AA22"/>
    <mergeCell ref="Y10:AC10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M16:Q16"/>
    <mergeCell ref="H16:L16"/>
    <mergeCell ref="H15:Q15"/>
    <mergeCell ref="Z20:AC20"/>
    <mergeCell ref="Q22:V22"/>
    <mergeCell ref="O24:S24"/>
    <mergeCell ref="T24:W24"/>
    <mergeCell ref="O25:S25"/>
    <mergeCell ref="T25:W25"/>
    <mergeCell ref="F26:J26"/>
    <mergeCell ref="X24:AC25"/>
    <mergeCell ref="F24:J24"/>
    <mergeCell ref="K24:N24"/>
    <mergeCell ref="F25:J25"/>
    <mergeCell ref="K25:N25"/>
  </mergeCells>
  <pageMargins left="0.7" right="0.7" top="0.75" bottom="0.75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topLeftCell="A9" zoomScale="90" zoomScaleSheetLayoutView="90" workbookViewId="0">
      <selection activeCell="O19" sqref="O19"/>
    </sheetView>
  </sheetViews>
  <sheetFormatPr baseColWidth="10" defaultRowHeight="15" x14ac:dyDescent="0.25"/>
  <cols>
    <col min="1" max="1" width="8.28515625" customWidth="1"/>
    <col min="2" max="2" width="7.5703125" customWidth="1"/>
    <col min="3" max="24" width="5.7109375" customWidth="1"/>
  </cols>
  <sheetData>
    <row r="1" spans="1:24" ht="15" customHeight="1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24" ht="1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24" ht="15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ht="30" customHeight="1" thickBot="1" x14ac:dyDescent="0.3">
      <c r="A4" s="141" t="s">
        <v>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</row>
    <row r="5" spans="1:24" ht="27.75" customHeight="1" thickBot="1" x14ac:dyDescent="0.4">
      <c r="A5" s="201" t="s">
        <v>5</v>
      </c>
      <c r="B5" s="203" t="s">
        <v>6</v>
      </c>
      <c r="C5" s="213" t="s">
        <v>7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194" t="s">
        <v>8</v>
      </c>
      <c r="S5" s="135" t="s">
        <v>9</v>
      </c>
    </row>
    <row r="6" spans="1:24" ht="29.25" customHeight="1" thickTop="1" x14ac:dyDescent="0.25">
      <c r="A6" s="202"/>
      <c r="B6" s="204"/>
      <c r="C6" s="173" t="s">
        <v>29</v>
      </c>
      <c r="D6" s="174"/>
      <c r="E6" s="174"/>
      <c r="F6" s="174"/>
      <c r="G6" s="174"/>
      <c r="H6" s="175" t="s">
        <v>56</v>
      </c>
      <c r="I6" s="174"/>
      <c r="J6" s="174"/>
      <c r="K6" s="174"/>
      <c r="L6" s="176"/>
      <c r="M6" s="175" t="s">
        <v>40</v>
      </c>
      <c r="N6" s="174"/>
      <c r="O6" s="174"/>
      <c r="P6" s="174"/>
      <c r="Q6" s="176"/>
      <c r="R6" s="195"/>
      <c r="S6" s="136"/>
    </row>
    <row r="7" spans="1:24" ht="27.75" x14ac:dyDescent="0.25">
      <c r="A7" s="202"/>
      <c r="B7" s="204"/>
      <c r="C7" s="35" t="s">
        <v>17</v>
      </c>
      <c r="D7" s="36" t="s">
        <v>18</v>
      </c>
      <c r="E7" s="196" t="s">
        <v>19</v>
      </c>
      <c r="F7" s="37" t="s">
        <v>20</v>
      </c>
      <c r="G7" s="38" t="s">
        <v>21</v>
      </c>
      <c r="H7" s="39" t="s">
        <v>17</v>
      </c>
      <c r="I7" s="36" t="s">
        <v>18</v>
      </c>
      <c r="J7" s="196" t="s">
        <v>19</v>
      </c>
      <c r="K7" s="37" t="s">
        <v>20</v>
      </c>
      <c r="L7" s="40" t="s">
        <v>21</v>
      </c>
      <c r="M7" s="39" t="s">
        <v>17</v>
      </c>
      <c r="N7" s="36" t="s">
        <v>18</v>
      </c>
      <c r="O7" s="196" t="s">
        <v>19</v>
      </c>
      <c r="P7" s="37" t="s">
        <v>20</v>
      </c>
      <c r="Q7" s="40" t="s">
        <v>21</v>
      </c>
      <c r="R7" s="195"/>
      <c r="S7" s="137"/>
    </row>
    <row r="8" spans="1:24" ht="24" customHeight="1" thickBot="1" x14ac:dyDescent="0.3">
      <c r="A8" s="54">
        <f>R8+M18+R13+R18</f>
        <v>15</v>
      </c>
      <c r="B8" s="3">
        <f>S8+S13+N18+S18</f>
        <v>30</v>
      </c>
      <c r="C8" s="41">
        <v>0.6</v>
      </c>
      <c r="D8" s="42">
        <v>0.4</v>
      </c>
      <c r="E8" s="197"/>
      <c r="F8" s="43">
        <v>2</v>
      </c>
      <c r="G8" s="44">
        <v>6</v>
      </c>
      <c r="H8" s="45">
        <v>0.6</v>
      </c>
      <c r="I8" s="42">
        <v>0.4</v>
      </c>
      <c r="J8" s="197"/>
      <c r="K8" s="43">
        <v>2</v>
      </c>
      <c r="L8" s="46">
        <v>6</v>
      </c>
      <c r="M8" s="45">
        <v>0.6</v>
      </c>
      <c r="N8" s="42">
        <v>0.4</v>
      </c>
      <c r="O8" s="197"/>
      <c r="P8" s="43">
        <v>2</v>
      </c>
      <c r="Q8" s="46">
        <v>4</v>
      </c>
      <c r="R8" s="50">
        <f>F8+K8+P8</f>
        <v>6</v>
      </c>
      <c r="S8" s="47">
        <f>G8+L8+Q8</f>
        <v>16</v>
      </c>
    </row>
    <row r="9" spans="1:24" ht="32.25" customHeight="1" thickTop="1" thickBot="1" x14ac:dyDescent="0.3">
      <c r="A9" s="225">
        <f>IFERROR((R9*R8+R14*R13+M19*M18+R19*R18)/A8,"")</f>
        <v>0</v>
      </c>
      <c r="B9" s="147">
        <f>IFERROR(IF(A9*1&gt;=10,B8,X9+S14+N19+S19),"")</f>
        <v>0</v>
      </c>
      <c r="C9" s="64"/>
      <c r="D9" s="65"/>
      <c r="E9" s="65"/>
      <c r="F9" s="66">
        <f>IFERROR(IF(C9*C8+D9*D8&gt;IFERROR(E9*C8+D9*D8,0),C9*C8+D9*D8,IFERROR(E9*C8+D9*D8,0)),"")</f>
        <v>0</v>
      </c>
      <c r="G9" s="67">
        <f>IFERROR(IF(F9*1&gt;=10,G8,0),"")</f>
        <v>0</v>
      </c>
      <c r="H9" s="105"/>
      <c r="I9" s="106"/>
      <c r="J9" s="106"/>
      <c r="K9" s="68">
        <f>IFERROR(IF(H9*H8+I9*I8&gt;IFERROR(J9*H8+I9*I8,0),H9*H8+I9*I8,IFERROR(J9*H8+I9*I8,0)),"")</f>
        <v>0</v>
      </c>
      <c r="L9" s="69">
        <f>IFERROR(IF(K9*1&gt;=10,L8,0),"")</f>
        <v>0</v>
      </c>
      <c r="M9" s="105"/>
      <c r="N9" s="106"/>
      <c r="O9" s="106"/>
      <c r="P9" s="68">
        <f>IFERROR(IF(M9*M8+N9*N8&gt;IFERROR(O9*M8+N9*N8,0),M9*M8+N9*N8,IFERROR(O9*M8+N9*N8,0)),"")</f>
        <v>0</v>
      </c>
      <c r="Q9" s="69">
        <f>IFERROR(IF(P9*1&gt;=10,Q8,0),"")</f>
        <v>0</v>
      </c>
      <c r="R9" s="101">
        <f>IFERROR((F9*F8+K9*K8+P9*P8)/R8,"")</f>
        <v>0</v>
      </c>
      <c r="S9" s="102">
        <f>IFERROR(IF(R9*1&gt;=10,S8,G9+L9+Q9),"")</f>
        <v>0</v>
      </c>
    </row>
    <row r="10" spans="1:24" ht="25.5" customHeight="1" thickTop="1" thickBot="1" x14ac:dyDescent="0.35">
      <c r="A10" s="226"/>
      <c r="B10" s="148"/>
      <c r="C10" s="162" t="s">
        <v>11</v>
      </c>
      <c r="D10" s="163"/>
      <c r="E10" s="163"/>
      <c r="F10" s="163"/>
      <c r="G10" s="163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38" t="s">
        <v>23</v>
      </c>
      <c r="S10" s="216" t="s">
        <v>24</v>
      </c>
      <c r="T10" s="218" t="s">
        <v>54</v>
      </c>
      <c r="U10" s="116"/>
      <c r="V10" s="116"/>
      <c r="W10" s="116"/>
      <c r="X10" s="117"/>
    </row>
    <row r="11" spans="1:24" ht="25.5" customHeight="1" thickTop="1" x14ac:dyDescent="0.25">
      <c r="A11" s="226"/>
      <c r="B11" s="148"/>
      <c r="C11" s="166" t="s">
        <v>36</v>
      </c>
      <c r="D11" s="166"/>
      <c r="E11" s="166"/>
      <c r="F11" s="166"/>
      <c r="G11" s="167"/>
      <c r="H11" s="168" t="s">
        <v>37</v>
      </c>
      <c r="I11" s="169"/>
      <c r="J11" s="169"/>
      <c r="K11" s="169"/>
      <c r="L11" s="170"/>
      <c r="M11" s="166" t="s">
        <v>38</v>
      </c>
      <c r="N11" s="166"/>
      <c r="O11" s="166"/>
      <c r="P11" s="166"/>
      <c r="Q11" s="166"/>
      <c r="R11" s="138"/>
      <c r="S11" s="216"/>
      <c r="T11" s="57">
        <v>1</v>
      </c>
      <c r="U11" s="115" t="str">
        <f>IFERROR(VLOOKUP(T11,$A$30:$F$38,3,FALSE),"")</f>
        <v>Introduction au management</v>
      </c>
      <c r="V11" s="116"/>
      <c r="W11" s="116"/>
      <c r="X11" s="117"/>
    </row>
    <row r="12" spans="1:24" ht="27.75" customHeight="1" x14ac:dyDescent="0.25">
      <c r="A12" s="226"/>
      <c r="B12" s="148"/>
      <c r="C12" s="4" t="s">
        <v>17</v>
      </c>
      <c r="D12" s="5" t="s">
        <v>18</v>
      </c>
      <c r="E12" s="133" t="s">
        <v>19</v>
      </c>
      <c r="F12" s="6" t="s">
        <v>20</v>
      </c>
      <c r="G12" s="7" t="s">
        <v>21</v>
      </c>
      <c r="H12" s="8" t="s">
        <v>17</v>
      </c>
      <c r="I12" s="5" t="s">
        <v>18</v>
      </c>
      <c r="J12" s="205" t="s">
        <v>19</v>
      </c>
      <c r="K12" s="9" t="s">
        <v>20</v>
      </c>
      <c r="L12" s="10" t="s">
        <v>21</v>
      </c>
      <c r="M12" s="4" t="s">
        <v>17</v>
      </c>
      <c r="N12" s="5" t="s">
        <v>18</v>
      </c>
      <c r="O12" s="133" t="s">
        <v>19</v>
      </c>
      <c r="P12" s="6" t="s">
        <v>20</v>
      </c>
      <c r="Q12" s="11" t="s">
        <v>21</v>
      </c>
      <c r="R12" s="138"/>
      <c r="S12" s="217"/>
      <c r="T12" s="57">
        <v>2</v>
      </c>
      <c r="U12" s="115" t="str">
        <f t="shared" ref="U12:U19" si="0">IFERROR(VLOOKUP(T12,$A$30:$F$38,3,FALSE),"")</f>
        <v>Micro- économie 2</v>
      </c>
      <c r="V12" s="116"/>
      <c r="W12" s="116"/>
      <c r="X12" s="117"/>
    </row>
    <row r="13" spans="1:24" ht="24" customHeight="1" thickBot="1" x14ac:dyDescent="0.3">
      <c r="A13" s="226"/>
      <c r="B13" s="148"/>
      <c r="C13" s="12">
        <v>0.6</v>
      </c>
      <c r="D13" s="12">
        <v>0.4</v>
      </c>
      <c r="E13" s="134"/>
      <c r="F13" s="13">
        <v>2</v>
      </c>
      <c r="G13" s="14">
        <v>4</v>
      </c>
      <c r="H13" s="15">
        <v>0.6</v>
      </c>
      <c r="I13" s="12">
        <v>0.4</v>
      </c>
      <c r="J13" s="206"/>
      <c r="K13" s="13">
        <v>2</v>
      </c>
      <c r="L13" s="16">
        <v>4</v>
      </c>
      <c r="M13" s="12">
        <v>0.6</v>
      </c>
      <c r="N13" s="17">
        <v>0.4</v>
      </c>
      <c r="O13" s="134"/>
      <c r="P13" s="13">
        <v>2</v>
      </c>
      <c r="Q13" s="18">
        <v>3</v>
      </c>
      <c r="R13" s="19">
        <f>F13+K13+P13</f>
        <v>6</v>
      </c>
      <c r="S13" s="20">
        <f>G13+L13+Q13</f>
        <v>11</v>
      </c>
      <c r="T13" s="57">
        <v>3</v>
      </c>
      <c r="U13" s="115" t="str">
        <f t="shared" si="0"/>
        <v>Comptabilité générale 2</v>
      </c>
      <c r="V13" s="116"/>
      <c r="W13" s="116"/>
      <c r="X13" s="117"/>
    </row>
    <row r="14" spans="1:24" ht="29.25" customHeight="1" thickTop="1" thickBot="1" x14ac:dyDescent="0.3">
      <c r="A14" s="226"/>
      <c r="B14" s="148"/>
      <c r="C14" s="64"/>
      <c r="D14" s="65"/>
      <c r="E14" s="65"/>
      <c r="F14" s="83">
        <f>IFERROR(IF(C14*C13+D14*D13&gt;IFERROR(E14*C13+D14*D13,0),C14*C13+D14*D13,IFERROR(E14*C13+D14*D13,0)),"")</f>
        <v>0</v>
      </c>
      <c r="G14" s="84">
        <f>IFERROR(IF(F14*1&gt;=10,G13,0),"")</f>
        <v>0</v>
      </c>
      <c r="H14" s="105"/>
      <c r="I14" s="106"/>
      <c r="J14" s="106"/>
      <c r="K14" s="85">
        <f>IFERROR(IF(H14*H13+I14*I13&gt;IFERROR(J14*H13+I14*I13,0),H14*H13+I14*I13,IFERROR(J14*H13+I14*I13,0)),"")</f>
        <v>0</v>
      </c>
      <c r="L14" s="86">
        <f>IFERROR(IF(K14*1&gt;=10,L13,0),"")</f>
        <v>0</v>
      </c>
      <c r="M14" s="107"/>
      <c r="N14" s="65"/>
      <c r="O14" s="65"/>
      <c r="P14" s="83">
        <f>IFERROR(IF(M14*M13+N14*N13&gt;IFERROR(O14*M13+N14*N13,0),M14*M13+N14*N13,IFERROR(O14*M13+N14*N13,0)),"")</f>
        <v>0</v>
      </c>
      <c r="Q14" s="84">
        <f>IFERROR(IF(P14*1&gt;=10,Q13,0),"")</f>
        <v>0</v>
      </c>
      <c r="R14" s="87">
        <f>IFERROR((P14*P13+F14*F13+K14*K13)/R13,"")</f>
        <v>0</v>
      </c>
      <c r="S14" s="104">
        <f>IFERROR(IF(R14*1&gt;=10,S13,Q14+G14+L14),"")</f>
        <v>0</v>
      </c>
      <c r="T14" s="57">
        <v>4</v>
      </c>
      <c r="U14" s="115" t="str">
        <f t="shared" si="0"/>
        <v>Statistiques 2</v>
      </c>
      <c r="V14" s="116"/>
      <c r="W14" s="116"/>
      <c r="X14" s="117"/>
    </row>
    <row r="15" spans="1:24" ht="24.75" customHeight="1" thickTop="1" thickBot="1" x14ac:dyDescent="0.35">
      <c r="A15" s="226"/>
      <c r="B15" s="148"/>
      <c r="C15" s="127" t="s">
        <v>10</v>
      </c>
      <c r="D15" s="128"/>
      <c r="E15" s="128"/>
      <c r="F15" s="128"/>
      <c r="G15" s="128"/>
      <c r="H15" s="129"/>
      <c r="I15" s="129"/>
      <c r="J15" s="129"/>
      <c r="K15" s="129"/>
      <c r="L15" s="130"/>
      <c r="M15" s="151" t="s">
        <v>25</v>
      </c>
      <c r="N15" s="153" t="s">
        <v>26</v>
      </c>
      <c r="O15" s="158" t="s">
        <v>55</v>
      </c>
      <c r="P15" s="159"/>
      <c r="Q15" s="159"/>
      <c r="R15" s="159"/>
      <c r="S15" s="219"/>
      <c r="T15" s="57">
        <v>5</v>
      </c>
      <c r="U15" s="115" t="str">
        <f t="shared" si="0"/>
        <v xml:space="preserve"> Mathematiques 2</v>
      </c>
      <c r="V15" s="116"/>
      <c r="W15" s="116"/>
      <c r="X15" s="117"/>
    </row>
    <row r="16" spans="1:24" ht="32.25" customHeight="1" thickTop="1" x14ac:dyDescent="0.25">
      <c r="A16" s="226"/>
      <c r="B16" s="149"/>
      <c r="C16" s="124" t="s">
        <v>57</v>
      </c>
      <c r="D16" s="125"/>
      <c r="E16" s="125"/>
      <c r="F16" s="125"/>
      <c r="G16" s="126"/>
      <c r="H16" s="124" t="s">
        <v>34</v>
      </c>
      <c r="I16" s="125"/>
      <c r="J16" s="125"/>
      <c r="K16" s="125"/>
      <c r="L16" s="126"/>
      <c r="M16" s="152"/>
      <c r="N16" s="154"/>
      <c r="O16" s="156" t="s">
        <v>35</v>
      </c>
      <c r="P16" s="157"/>
      <c r="Q16" s="157"/>
      <c r="R16" s="157"/>
      <c r="S16" s="220"/>
      <c r="T16" s="57">
        <v>6</v>
      </c>
      <c r="U16" s="115" t="str">
        <f t="shared" si="0"/>
        <v>informatique 1</v>
      </c>
      <c r="V16" s="116"/>
      <c r="W16" s="116"/>
      <c r="X16" s="117"/>
    </row>
    <row r="17" spans="1:24" ht="27.75" customHeight="1" x14ac:dyDescent="0.25">
      <c r="A17" s="226"/>
      <c r="B17" s="149"/>
      <c r="C17" s="207" t="s">
        <v>17</v>
      </c>
      <c r="D17" s="208"/>
      <c r="E17" s="131" t="s">
        <v>19</v>
      </c>
      <c r="F17" s="31" t="s">
        <v>20</v>
      </c>
      <c r="G17" s="32" t="s">
        <v>21</v>
      </c>
      <c r="H17" s="207" t="s">
        <v>17</v>
      </c>
      <c r="I17" s="208"/>
      <c r="J17" s="131" t="s">
        <v>19</v>
      </c>
      <c r="K17" s="31" t="s">
        <v>20</v>
      </c>
      <c r="L17" s="48" t="s">
        <v>21</v>
      </c>
      <c r="M17" s="152"/>
      <c r="N17" s="155"/>
      <c r="O17" s="24" t="s">
        <v>17</v>
      </c>
      <c r="P17" s="21" t="s">
        <v>18</v>
      </c>
      <c r="Q17" s="160" t="s">
        <v>19</v>
      </c>
      <c r="R17" s="22" t="s">
        <v>20</v>
      </c>
      <c r="S17" s="25" t="s">
        <v>21</v>
      </c>
      <c r="T17" s="57">
        <v>7</v>
      </c>
      <c r="U17" s="115" t="str">
        <f t="shared" si="0"/>
        <v>droit commercial</v>
      </c>
      <c r="V17" s="116"/>
      <c r="W17" s="116"/>
      <c r="X17" s="117"/>
    </row>
    <row r="18" spans="1:24" ht="24" customHeight="1" thickBot="1" x14ac:dyDescent="0.3">
      <c r="A18" s="226"/>
      <c r="B18" s="149"/>
      <c r="C18" s="209">
        <v>1</v>
      </c>
      <c r="D18" s="210"/>
      <c r="E18" s="132"/>
      <c r="F18" s="33">
        <v>1</v>
      </c>
      <c r="G18" s="34">
        <v>1</v>
      </c>
      <c r="H18" s="209">
        <v>1</v>
      </c>
      <c r="I18" s="210"/>
      <c r="J18" s="132"/>
      <c r="K18" s="33">
        <v>1</v>
      </c>
      <c r="L18" s="49">
        <v>1</v>
      </c>
      <c r="M18" s="51">
        <f>F18+K18</f>
        <v>2</v>
      </c>
      <c r="N18" s="52">
        <f>G18+L18</f>
        <v>2</v>
      </c>
      <c r="O18" s="29">
        <v>0.6</v>
      </c>
      <c r="P18" s="26">
        <v>0.4</v>
      </c>
      <c r="Q18" s="161"/>
      <c r="R18" s="27">
        <v>1</v>
      </c>
      <c r="S18" s="30">
        <v>1</v>
      </c>
      <c r="T18" s="57">
        <v>8</v>
      </c>
      <c r="U18" s="115" t="str">
        <f t="shared" si="0"/>
        <v>sociologie des organisations</v>
      </c>
      <c r="V18" s="116"/>
      <c r="W18" s="116"/>
      <c r="X18" s="117"/>
    </row>
    <row r="19" spans="1:24" ht="35.25" customHeight="1" thickTop="1" thickBot="1" x14ac:dyDescent="0.3">
      <c r="A19" s="227"/>
      <c r="B19" s="150"/>
      <c r="C19" s="211"/>
      <c r="D19" s="212"/>
      <c r="E19" s="99"/>
      <c r="F19" s="93">
        <f>IFERROR(IF(C19*C18+D19*D18&gt;IFERROR(E19*C18+D19*D18,0),C19*C18+D19*D18,IFERROR(E19*C18+D19*D18,0)),"")</f>
        <v>0</v>
      </c>
      <c r="G19" s="94">
        <f>IFERROR(IF(F19*1&gt;=10,G18,0),"")</f>
        <v>0</v>
      </c>
      <c r="H19" s="211"/>
      <c r="I19" s="212"/>
      <c r="J19" s="99"/>
      <c r="K19" s="93">
        <f>IFERROR(IF(H19*H18+I19*I18&gt;IFERROR(J19*H18+I19*I18,0),H19*H18+I19*I18,IFERROR(J19*H18+I19*I18,0)),"")</f>
        <v>0</v>
      </c>
      <c r="L19" s="94">
        <f>IFERROR(IF(K19*1&gt;=10,L18,0),"")</f>
        <v>0</v>
      </c>
      <c r="M19" s="95">
        <f>IFERROR((F19*F18+K19*K18)/M18,"")</f>
        <v>0</v>
      </c>
      <c r="N19" s="96">
        <f>IFERROR(IF(M19*1&gt;=10,N18,G19+L19),"")</f>
        <v>0</v>
      </c>
      <c r="O19" s="100"/>
      <c r="P19" s="99"/>
      <c r="Q19" s="99"/>
      <c r="R19" s="97">
        <f>IFERROR(IF(O19*O18+P19*P18&gt;IFERROR(Q19*O18+P19*P18,0),O19*O18+P19*P18,IFERROR(Q19*O18+P19*P18,0)),"")</f>
        <v>0</v>
      </c>
      <c r="S19" s="103">
        <f>IFERROR(IF(R19*1&gt;=10,S18,0),"")</f>
        <v>0</v>
      </c>
      <c r="T19" s="57">
        <v>9</v>
      </c>
      <c r="U19" s="115" t="str">
        <f t="shared" si="0"/>
        <v>Anglais 2</v>
      </c>
      <c r="V19" s="116"/>
      <c r="W19" s="116"/>
      <c r="X19" s="117"/>
    </row>
    <row r="20" spans="1:24" ht="30" customHeight="1" x14ac:dyDescent="0.25">
      <c r="T20" s="57"/>
      <c r="U20" s="115"/>
      <c r="V20" s="116"/>
      <c r="W20" s="116"/>
      <c r="X20" s="117"/>
    </row>
    <row r="21" spans="1:24" ht="21" x14ac:dyDescent="0.25">
      <c r="A21" s="221" t="s">
        <v>46</v>
      </c>
      <c r="B21" s="221"/>
      <c r="C21" s="221"/>
      <c r="D21" s="221"/>
      <c r="E21" s="221"/>
      <c r="F21" s="221"/>
      <c r="G21" s="222">
        <f>(R9*R8+R14*R13+M19*M18+R19*R18)/(R8+R13+M18+R18)</f>
        <v>0</v>
      </c>
      <c r="H21" s="222"/>
      <c r="I21" s="222"/>
      <c r="J21" s="222"/>
      <c r="K21" s="222"/>
      <c r="L21" s="221" t="s">
        <v>47</v>
      </c>
      <c r="M21" s="221"/>
      <c r="N21" s="221"/>
      <c r="O21" s="221"/>
      <c r="P21" s="221"/>
      <c r="Q21" s="221"/>
      <c r="R21" s="224">
        <f>IF(G21*1&gt;9.99,B8,S9+S14+N19+S19)</f>
        <v>0</v>
      </c>
      <c r="S21" s="224"/>
      <c r="T21" s="224"/>
      <c r="U21" s="224"/>
      <c r="V21" s="224"/>
    </row>
    <row r="22" spans="1:24" ht="30" customHeight="1" x14ac:dyDescent="0.25"/>
    <row r="23" spans="1:24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4" t="s">
        <v>50</v>
      </c>
      <c r="K23" s="114"/>
      <c r="L23" s="114"/>
      <c r="M23" s="114"/>
      <c r="N23" s="114"/>
      <c r="O23" s="114" t="str">
        <f>IF(OR(AD8&gt;0,AI8&gt;0,AN8&gt;0,AD13&gt;0,AI13&gt;0,AN13&gt;0,AD18&gt;0,AI18&gt;0,AP18&gt;0),"OUI","NON")</f>
        <v>NON</v>
      </c>
      <c r="P23" s="114"/>
      <c r="Q23" s="114"/>
      <c r="R23" s="114"/>
      <c r="S23" s="112" t="s">
        <v>61</v>
      </c>
      <c r="T23" s="113"/>
      <c r="U23" s="113"/>
      <c r="V23" s="113"/>
      <c r="W23" s="113"/>
      <c r="X23" s="113"/>
    </row>
    <row r="24" spans="1:24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4" t="s">
        <v>51</v>
      </c>
      <c r="K24" s="114"/>
      <c r="L24" s="114"/>
      <c r="M24" s="114"/>
      <c r="N24" s="114"/>
      <c r="O24" s="114" t="str">
        <f>IF(OR(AE8&lt;10,AJ8&lt;10,AO8&lt;10,AE13&lt;10,AJ13&lt;10,AO13&lt;10,AE18&lt;10,AJ18&lt;10,AQ18&lt;10),"OUI","NON")</f>
        <v>OUI</v>
      </c>
      <c r="P24" s="114"/>
      <c r="Q24" s="114"/>
      <c r="R24" s="114"/>
      <c r="S24" s="112"/>
      <c r="T24" s="113"/>
      <c r="U24" s="113"/>
      <c r="V24" s="113"/>
      <c r="W24" s="113"/>
      <c r="X24" s="113"/>
    </row>
    <row r="25" spans="1:24" ht="18" hidden="1" customHeight="1" x14ac:dyDescent="0.25">
      <c r="A25" s="223"/>
      <c r="B25" s="223"/>
      <c r="C25" s="223"/>
      <c r="D25" s="223"/>
      <c r="E25" s="223"/>
      <c r="F25" s="223"/>
      <c r="G25" s="223"/>
      <c r="H25" s="223"/>
      <c r="I25" s="223"/>
      <c r="J25" s="111"/>
      <c r="K25" s="111"/>
      <c r="L25" s="111"/>
      <c r="M25" s="111"/>
      <c r="N25" s="111"/>
      <c r="O25" s="108"/>
      <c r="P25" s="108"/>
      <c r="Q25" s="108"/>
      <c r="R25" s="108"/>
    </row>
    <row r="26" spans="1:24" hidden="1" x14ac:dyDescent="0.25">
      <c r="A26" s="56"/>
      <c r="B26" s="56"/>
      <c r="C26" s="56"/>
      <c r="D26" s="56"/>
      <c r="E26" s="56"/>
      <c r="F26" s="56"/>
      <c r="G26" s="56"/>
      <c r="H26" s="56"/>
      <c r="I26" s="56"/>
    </row>
    <row r="27" spans="1:24" hidden="1" x14ac:dyDescent="0.25"/>
    <row r="28" spans="1:24" ht="15.75" hidden="1" thickBot="1" x14ac:dyDescent="0.3"/>
    <row r="29" spans="1:24" ht="15" hidden="1" customHeight="1" x14ac:dyDescent="0.25">
      <c r="A29" s="181" t="s">
        <v>59</v>
      </c>
      <c r="B29" s="182"/>
      <c r="C29" s="182"/>
      <c r="D29" s="182"/>
      <c r="E29" s="182"/>
      <c r="F29" s="183"/>
    </row>
    <row r="30" spans="1:24" ht="15" hidden="1" customHeight="1" x14ac:dyDescent="0.25">
      <c r="A30" s="59">
        <f>SUM(B$29:$G30)</f>
        <v>1</v>
      </c>
      <c r="B30" s="58">
        <f>IF(C30="",0,1)</f>
        <v>1</v>
      </c>
      <c r="C30" s="179" t="str">
        <f>IF(AND(A9&lt;10,F9&lt;10),C6,"")</f>
        <v>Introduction au management</v>
      </c>
      <c r="D30" s="179"/>
      <c r="E30" s="179"/>
      <c r="F30" s="180"/>
    </row>
    <row r="31" spans="1:24" ht="15" hidden="1" customHeight="1" x14ac:dyDescent="0.25">
      <c r="A31" s="59">
        <f>SUM(B$29:$G31)</f>
        <v>2</v>
      </c>
      <c r="B31" s="58">
        <f t="shared" ref="B31:B38" si="1">IF(C31="",0,1)</f>
        <v>1</v>
      </c>
      <c r="C31" s="179" t="str">
        <f>IF(AND(A9&lt;10,K9&lt;10),H6,"")</f>
        <v>Micro- économie 2</v>
      </c>
      <c r="D31" s="179"/>
      <c r="E31" s="179"/>
      <c r="F31" s="180"/>
    </row>
    <row r="32" spans="1:24" ht="15" hidden="1" customHeight="1" x14ac:dyDescent="0.25">
      <c r="A32" s="59">
        <f>SUM(B$29:$G32)</f>
        <v>3</v>
      </c>
      <c r="B32" s="58">
        <f t="shared" si="1"/>
        <v>1</v>
      </c>
      <c r="C32" s="179" t="str">
        <f>IF(AND(A9&lt;10,P9&lt;10),M6,"")</f>
        <v>Comptabilité générale 2</v>
      </c>
      <c r="D32" s="179"/>
      <c r="E32" s="179"/>
      <c r="F32" s="180"/>
    </row>
    <row r="33" spans="1:6" ht="15" hidden="1" customHeight="1" x14ac:dyDescent="0.25">
      <c r="A33" s="59">
        <f>SUM(B$29:$G33)</f>
        <v>4</v>
      </c>
      <c r="B33" s="58">
        <f t="shared" si="1"/>
        <v>1</v>
      </c>
      <c r="C33" s="62" t="str">
        <f>IF(AND(A9&lt;10,F14&lt;10),C11,"")</f>
        <v>Statistiques 2</v>
      </c>
      <c r="D33" s="62"/>
      <c r="E33" s="62"/>
      <c r="F33" s="63"/>
    </row>
    <row r="34" spans="1:6" ht="15" hidden="1" customHeight="1" x14ac:dyDescent="0.25">
      <c r="A34" s="59">
        <f>SUM(B$29:$G34)</f>
        <v>5</v>
      </c>
      <c r="B34" s="58">
        <f t="shared" si="1"/>
        <v>1</v>
      </c>
      <c r="C34" s="62" t="str">
        <f>IF(AND(A9&lt;10,K14&lt;10),H11,"")</f>
        <v xml:space="preserve"> Mathematiques 2</v>
      </c>
      <c r="D34" s="62"/>
      <c r="E34" s="62"/>
      <c r="F34" s="63"/>
    </row>
    <row r="35" spans="1:6" ht="15" hidden="1" customHeight="1" x14ac:dyDescent="0.25">
      <c r="A35" s="59">
        <f>SUM(B$29:$G35)</f>
        <v>6</v>
      </c>
      <c r="B35" s="58">
        <f t="shared" si="1"/>
        <v>1</v>
      </c>
      <c r="C35" s="62" t="str">
        <f>IF(AND(A9&lt;10,P14&lt;10),M11,"")</f>
        <v>informatique 1</v>
      </c>
      <c r="D35" s="62"/>
      <c r="E35" s="62"/>
      <c r="F35" s="63"/>
    </row>
    <row r="36" spans="1:6" ht="15" hidden="1" customHeight="1" x14ac:dyDescent="0.25">
      <c r="A36" s="59">
        <f>SUM(B$29:$G36)</f>
        <v>7</v>
      </c>
      <c r="B36" s="58">
        <f t="shared" si="1"/>
        <v>1</v>
      </c>
      <c r="C36" s="62" t="str">
        <f>IF(AND(A9&lt;10,F19&lt;10),C16,"")</f>
        <v>droit commercial</v>
      </c>
      <c r="D36" s="62"/>
      <c r="E36" s="62"/>
      <c r="F36" s="63"/>
    </row>
    <row r="37" spans="1:6" ht="15" hidden="1" customHeight="1" x14ac:dyDescent="0.25">
      <c r="A37" s="59">
        <f>SUM(B$29:$G37)</f>
        <v>8</v>
      </c>
      <c r="B37" s="58">
        <f t="shared" si="1"/>
        <v>1</v>
      </c>
      <c r="C37" s="62" t="str">
        <f>IF(AND(A9&lt;10,K19&lt;10),H16,"")</f>
        <v>sociologie des organisations</v>
      </c>
      <c r="D37" s="62"/>
      <c r="E37" s="62"/>
      <c r="F37" s="63"/>
    </row>
    <row r="38" spans="1:6" ht="15.75" hidden="1" customHeight="1" thickBot="1" x14ac:dyDescent="0.3">
      <c r="A38" s="59">
        <f>SUM(B$29:$G38)</f>
        <v>9</v>
      </c>
      <c r="B38" s="58">
        <f t="shared" si="1"/>
        <v>1</v>
      </c>
      <c r="C38" s="177" t="str">
        <f>IF(AND(A9&lt;10,R19&lt;10),O16,"")</f>
        <v>Anglais 2</v>
      </c>
      <c r="D38" s="177"/>
      <c r="E38" s="177"/>
      <c r="F38" s="178"/>
    </row>
    <row r="39" spans="1:6" ht="15.75" hidden="1" customHeight="1" thickBot="1" x14ac:dyDescent="0.3">
      <c r="A39" s="60"/>
      <c r="B39" s="61"/>
      <c r="C39" s="177"/>
      <c r="D39" s="177"/>
      <c r="E39" s="177"/>
      <c r="F39" s="178"/>
    </row>
  </sheetData>
  <sheetProtection password="E059" sheet="1" objects="1" scenarios="1" selectLockedCells="1"/>
  <mergeCells count="73">
    <mergeCell ref="C18:D18"/>
    <mergeCell ref="H18:I18"/>
    <mergeCell ref="H17:I17"/>
    <mergeCell ref="J25:N25"/>
    <mergeCell ref="R21:V21"/>
    <mergeCell ref="A23:E23"/>
    <mergeCell ref="F23:I23"/>
    <mergeCell ref="J23:N23"/>
    <mergeCell ref="O23:R23"/>
    <mergeCell ref="J24:N24"/>
    <mergeCell ref="O24:R24"/>
    <mergeCell ref="U18:X18"/>
    <mergeCell ref="U19:X19"/>
    <mergeCell ref="U20:X20"/>
    <mergeCell ref="A9:A19"/>
    <mergeCell ref="B9:B19"/>
    <mergeCell ref="C39:F39"/>
    <mergeCell ref="A21:F21"/>
    <mergeCell ref="G21:K21"/>
    <mergeCell ref="L21:Q21"/>
    <mergeCell ref="C38:F38"/>
    <mergeCell ref="C31:F31"/>
    <mergeCell ref="C32:F32"/>
    <mergeCell ref="A29:F29"/>
    <mergeCell ref="C30:F30"/>
    <mergeCell ref="A24:E24"/>
    <mergeCell ref="F24:I24"/>
    <mergeCell ref="A25:E25"/>
    <mergeCell ref="F25:I25"/>
    <mergeCell ref="N15:N17"/>
    <mergeCell ref="O15:S15"/>
    <mergeCell ref="U15:X15"/>
    <mergeCell ref="C16:G16"/>
    <mergeCell ref="H16:L16"/>
    <mergeCell ref="O16:S16"/>
    <mergeCell ref="U13:X13"/>
    <mergeCell ref="U14:X14"/>
    <mergeCell ref="C15:L15"/>
    <mergeCell ref="M15:M17"/>
    <mergeCell ref="M11:Q11"/>
    <mergeCell ref="U11:X11"/>
    <mergeCell ref="E12:E13"/>
    <mergeCell ref="J12:J13"/>
    <mergeCell ref="O12:O13"/>
    <mergeCell ref="U12:X12"/>
    <mergeCell ref="C17:D17"/>
    <mergeCell ref="U16:X16"/>
    <mergeCell ref="E17:E18"/>
    <mergeCell ref="J17:J18"/>
    <mergeCell ref="Q17:Q18"/>
    <mergeCell ref="U17:X17"/>
    <mergeCell ref="C10:Q10"/>
    <mergeCell ref="R10:R12"/>
    <mergeCell ref="S10:S12"/>
    <mergeCell ref="T10:X10"/>
    <mergeCell ref="C11:G11"/>
    <mergeCell ref="H11:L11"/>
    <mergeCell ref="A1:S3"/>
    <mergeCell ref="A4:S4"/>
    <mergeCell ref="C19:D19"/>
    <mergeCell ref="H19:I19"/>
    <mergeCell ref="S23:X24"/>
    <mergeCell ref="R5:R7"/>
    <mergeCell ref="S5:S7"/>
    <mergeCell ref="C6:G6"/>
    <mergeCell ref="H6:L6"/>
    <mergeCell ref="A5:A7"/>
    <mergeCell ref="M6:Q6"/>
    <mergeCell ref="E7:E8"/>
    <mergeCell ref="J7:J8"/>
    <mergeCell ref="O7:O8"/>
    <mergeCell ref="B5:B7"/>
    <mergeCell ref="C5:Q5"/>
  </mergeCell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M15" sqref="M15"/>
    </sheetView>
  </sheetViews>
  <sheetFormatPr baseColWidth="10" defaultRowHeight="15" x14ac:dyDescent="0.25"/>
  <cols>
    <col min="1" max="1" width="7.28515625" customWidth="1"/>
    <col min="2" max="2" width="7.140625" customWidth="1"/>
    <col min="3" max="22" width="5.7109375" customWidth="1"/>
  </cols>
  <sheetData>
    <row r="1" spans="1:22" x14ac:dyDescent="0.2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4" spans="1:22" x14ac:dyDescent="0.25">
      <c r="A4" s="230" t="s">
        <v>41</v>
      </c>
      <c r="B4" s="230"/>
      <c r="C4" s="230"/>
      <c r="D4" s="230"/>
      <c r="E4" s="230"/>
      <c r="F4" s="230"/>
      <c r="G4" s="231">
        <f>'semestre 1'!L22</f>
        <v>0</v>
      </c>
      <c r="H4" s="231"/>
      <c r="I4" s="231"/>
      <c r="J4" s="231"/>
      <c r="K4" s="231"/>
      <c r="L4" s="230" t="s">
        <v>42</v>
      </c>
      <c r="M4" s="230"/>
      <c r="N4" s="230"/>
      <c r="O4" s="230"/>
      <c r="P4" s="230"/>
      <c r="Q4" s="230"/>
      <c r="R4" s="230">
        <f>'semestre 1'!W22</f>
        <v>0</v>
      </c>
      <c r="S4" s="230"/>
      <c r="T4" s="230"/>
      <c r="U4" s="230"/>
      <c r="V4" s="230"/>
    </row>
    <row r="5" spans="1:22" x14ac:dyDescent="0.25">
      <c r="A5" s="232" t="s">
        <v>46</v>
      </c>
      <c r="B5" s="232"/>
      <c r="C5" s="232"/>
      <c r="D5" s="232"/>
      <c r="E5" s="232"/>
      <c r="F5" s="232"/>
      <c r="G5" s="233">
        <f>'semestre 2'!G21</f>
        <v>0</v>
      </c>
      <c r="H5" s="233"/>
      <c r="I5" s="233"/>
      <c r="J5" s="233"/>
      <c r="K5" s="233"/>
      <c r="L5" s="232" t="s">
        <v>47</v>
      </c>
      <c r="M5" s="232"/>
      <c r="N5" s="232"/>
      <c r="O5" s="232"/>
      <c r="P5" s="232"/>
      <c r="Q5" s="232"/>
      <c r="R5" s="232">
        <f>'semestre 2'!R21</f>
        <v>0</v>
      </c>
      <c r="S5" s="232"/>
      <c r="T5" s="232"/>
      <c r="U5" s="232"/>
      <c r="V5" s="232"/>
    </row>
    <row r="6" spans="1:22" ht="30.75" customHeight="1" x14ac:dyDescent="0.25">
      <c r="A6" s="234" t="s">
        <v>43</v>
      </c>
      <c r="B6" s="234"/>
      <c r="C6" s="234"/>
      <c r="D6" s="234"/>
      <c r="E6" s="234"/>
      <c r="F6" s="234"/>
      <c r="G6" s="235">
        <f>(G4*'semestre 1'!F8+G5*'semestre 2'!A8)/('semestre 1'!F8+'semestre 2'!A8)</f>
        <v>0</v>
      </c>
      <c r="H6" s="235"/>
      <c r="I6" s="235"/>
      <c r="J6" s="235"/>
      <c r="K6" s="235"/>
      <c r="L6" s="234" t="s">
        <v>44</v>
      </c>
      <c r="M6" s="234"/>
      <c r="N6" s="234"/>
      <c r="O6" s="234"/>
      <c r="P6" s="234"/>
      <c r="Q6" s="234"/>
      <c r="R6" s="236">
        <f>IF(G6*1&gt;9.99,60,R4+R5)</f>
        <v>0</v>
      </c>
      <c r="S6" s="236"/>
      <c r="T6" s="236"/>
      <c r="U6" s="236"/>
      <c r="V6" s="236"/>
    </row>
    <row r="7" spans="1:22" ht="35.25" customHeight="1" x14ac:dyDescent="0.25">
      <c r="A7" s="234" t="s">
        <v>45</v>
      </c>
      <c r="B7" s="234"/>
      <c r="C7" s="234"/>
      <c r="D7" s="234"/>
      <c r="E7" s="234"/>
      <c r="F7" s="234"/>
      <c r="G7" s="237" t="str">
        <f>IF(AND(G6&gt;=10,F9="NON",O9="NON"),"Admis session 1",IF(AND(G6&gt;=10,OR(F9="oui",O9="oui")),"Admis session 2",IF(AND(G6&lt;10,R4&gt;=0,R5&gt;=0,R6&gt;=30),"Admis avec dette","Ajourné")))</f>
        <v>Ajourné</v>
      </c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/>
      <c r="T7" s="239"/>
      <c r="U7" s="239"/>
      <c r="V7" s="240"/>
    </row>
    <row r="8" spans="1:22" x14ac:dyDescent="0.25">
      <c r="A8" s="109"/>
      <c r="B8" s="109"/>
      <c r="C8" s="109"/>
      <c r="D8" s="109"/>
      <c r="E8" s="109"/>
      <c r="F8" s="109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109"/>
      <c r="S8" s="109"/>
      <c r="T8" s="109"/>
      <c r="U8" s="109"/>
      <c r="V8" s="109"/>
    </row>
    <row r="9" spans="1:22" x14ac:dyDescent="0.25">
      <c r="A9" s="241" t="s">
        <v>48</v>
      </c>
      <c r="B9" s="241"/>
      <c r="C9" s="241"/>
      <c r="D9" s="241"/>
      <c r="E9" s="241"/>
      <c r="F9" s="241" t="str">
        <f>'semestre 1'!K24</f>
        <v>NON</v>
      </c>
      <c r="G9" s="241"/>
      <c r="H9" s="241"/>
      <c r="I9" s="241"/>
      <c r="J9" s="241" t="s">
        <v>50</v>
      </c>
      <c r="K9" s="241"/>
      <c r="L9" s="241"/>
      <c r="M9" s="241"/>
      <c r="N9" s="241"/>
      <c r="O9" s="241" t="str">
        <f>'semestre 2'!O23</f>
        <v>NON</v>
      </c>
      <c r="P9" s="241"/>
      <c r="Q9" s="241"/>
      <c r="R9" s="241"/>
      <c r="S9" s="109"/>
      <c r="T9" s="109"/>
      <c r="U9" s="109"/>
      <c r="V9" s="109"/>
    </row>
    <row r="10" spans="1:22" x14ac:dyDescent="0.25">
      <c r="A10" s="241" t="s">
        <v>49</v>
      </c>
      <c r="B10" s="241"/>
      <c r="C10" s="241"/>
      <c r="D10" s="241"/>
      <c r="E10" s="241"/>
      <c r="F10" s="241" t="str">
        <f>'semestre 1'!K25</f>
        <v>OUI</v>
      </c>
      <c r="G10" s="241"/>
      <c r="H10" s="241"/>
      <c r="I10" s="241"/>
      <c r="J10" s="241" t="s">
        <v>51</v>
      </c>
      <c r="K10" s="241"/>
      <c r="L10" s="241"/>
      <c r="M10" s="241"/>
      <c r="N10" s="241"/>
      <c r="O10" s="241" t="str">
        <f>'semestre 2'!O24</f>
        <v>OUI</v>
      </c>
      <c r="P10" s="241"/>
      <c r="Q10" s="241"/>
      <c r="R10" s="241"/>
      <c r="S10" s="109"/>
      <c r="T10" s="109"/>
      <c r="U10" s="109"/>
      <c r="V10" s="109"/>
    </row>
    <row r="11" spans="1:22" x14ac:dyDescent="0.25">
      <c r="A11" s="242" t="s">
        <v>60</v>
      </c>
      <c r="B11" s="242"/>
      <c r="C11" s="242"/>
      <c r="D11" s="242"/>
      <c r="E11" s="242"/>
      <c r="F11" s="110"/>
      <c r="G11" s="110"/>
      <c r="H11" s="110"/>
      <c r="I11" s="110"/>
      <c r="J11" s="242" t="s">
        <v>60</v>
      </c>
      <c r="K11" s="242"/>
      <c r="L11" s="242"/>
      <c r="M11" s="242"/>
      <c r="N11" s="242"/>
      <c r="O11" s="110"/>
      <c r="P11" s="110"/>
      <c r="Q11" s="110"/>
      <c r="R11" s="110"/>
      <c r="S11" s="109"/>
      <c r="T11" s="109"/>
      <c r="U11" s="109"/>
      <c r="V11" s="109"/>
    </row>
  </sheetData>
  <sheetProtection password="E059" sheet="1" objects="1" scenarios="1" selectLockedCells="1"/>
  <mergeCells count="27">
    <mergeCell ref="A11:E11"/>
    <mergeCell ref="J11:N11"/>
    <mergeCell ref="A9:E9"/>
    <mergeCell ref="F9:I9"/>
    <mergeCell ref="J9:N9"/>
    <mergeCell ref="R7:V7"/>
    <mergeCell ref="O9:R9"/>
    <mergeCell ref="A10:E10"/>
    <mergeCell ref="F10:I10"/>
    <mergeCell ref="J10:N10"/>
    <mergeCell ref="O10:R10"/>
    <mergeCell ref="G8:Q8"/>
    <mergeCell ref="A1:V2"/>
    <mergeCell ref="A4:F4"/>
    <mergeCell ref="G4:K4"/>
    <mergeCell ref="L4:Q4"/>
    <mergeCell ref="R4:V4"/>
    <mergeCell ref="A5:F5"/>
    <mergeCell ref="G5:K5"/>
    <mergeCell ref="L5:Q5"/>
    <mergeCell ref="R5:V5"/>
    <mergeCell ref="A6:F6"/>
    <mergeCell ref="G6:K6"/>
    <mergeCell ref="L6:Q6"/>
    <mergeCell ref="R6:V6"/>
    <mergeCell ref="A7:F7"/>
    <mergeCell ref="G7:Q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semestre 1</vt:lpstr>
      <vt:lpstr>semestre 2</vt:lpstr>
      <vt:lpstr>année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sofiane</dc:creator>
  <cp:lastModifiedBy>informatico</cp:lastModifiedBy>
  <cp:lastPrinted>2019-04-07T15:25:02Z</cp:lastPrinted>
  <dcterms:created xsi:type="dcterms:W3CDTF">2014-02-16T15:36:53Z</dcterms:created>
  <dcterms:modified xsi:type="dcterms:W3CDTF">2020-11-11T18:15:06Z</dcterms:modified>
</cp:coreProperties>
</file>